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5. ZR " sheetId="1" r:id="rId1"/>
  </sheets>
  <definedNames>
    <definedName name="_xlnm.Print_Titles" localSheetId="0">'5. ZR '!$8:$9</definedName>
    <definedName name="_xlnm.Print_Area" localSheetId="0">'5. ZR '!$A$1:$R$564</definedName>
    <definedName name="Z_39FD50E0_9911_4D32_8842_5A58F13D310F_.wvu.Cols" localSheetId="0" hidden="1">'5. ZR '!$D:$K,'5. ZR '!$N:$N,'5. ZR '!#REF!</definedName>
    <definedName name="Z_39FD50E0_9911_4D32_8842_5A58F13D310F_.wvu.PrintTitles" localSheetId="0" hidden="1">'5. ZR '!$8:$9</definedName>
    <definedName name="Z_39FD50E0_9911_4D32_8842_5A58F13D310F_.wvu.Rows" localSheetId="0" hidden="1">'5. ZR '!$340:$340</definedName>
  </definedNames>
  <calcPr fullCalcOnLoad="1"/>
</workbook>
</file>

<file path=xl/sharedStrings.xml><?xml version="1.0" encoding="utf-8"?>
<sst xmlns="http://schemas.openxmlformats.org/spreadsheetml/2006/main" count="606" uniqueCount="394">
  <si>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</si>
  <si>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</si>
  <si>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</si>
  <si>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</si>
  <si>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</si>
  <si>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</si>
  <si>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</si>
  <si>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</si>
  <si>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</si>
  <si>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</si>
  <si>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</si>
  <si>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</si>
  <si>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</si>
  <si>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</si>
  <si>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</si>
  <si>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</si>
  <si>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</si>
  <si>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</si>
  <si>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</si>
  <si>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</si>
  <si>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</si>
  <si>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</si>
  <si>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</si>
  <si>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</si>
  <si>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</si>
  <si>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</si>
  <si>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</si>
  <si>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</si>
  <si>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</si>
  <si>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</si>
  <si>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</si>
  <si>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</si>
  <si>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</si>
  <si>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</si>
  <si>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</si>
  <si>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</si>
  <si>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</si>
  <si>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</si>
  <si>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</si>
  <si>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</si>
  <si>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</si>
  <si>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</si>
  <si>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</si>
  <si>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</si>
  <si>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</si>
  <si>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</si>
  <si>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</si>
  <si>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</si>
  <si>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</si>
  <si>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</si>
  <si>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</si>
  <si>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</si>
  <si>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</si>
  <si>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</si>
  <si>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</si>
  <si>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</si>
  <si>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</si>
  <si>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</si>
  <si>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</si>
  <si>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</si>
  <si>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</si>
  <si>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</si>
  <si>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</si>
  <si>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</si>
  <si>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</si>
  <si>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</si>
  <si>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</si>
  <si>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</si>
  <si>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</si>
  <si>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</si>
  <si>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</si>
  <si>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</si>
  <si>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</si>
  <si>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</si>
  <si>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</si>
  <si>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</si>
  <si>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</si>
  <si>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</si>
  <si>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</si>
  <si>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</si>
  <si>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</si>
  <si>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</si>
  <si>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</si>
  <si>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</si>
  <si>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</si>
  <si>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</si>
  <si>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</si>
  <si>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</si>
  <si>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</si>
  <si>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</si>
  <si>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</si>
  <si>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</si>
  <si>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</si>
  <si>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</si>
  <si>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</si>
  <si>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</si>
  <si>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</si>
  <si>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</si>
  <si>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</si>
  <si>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</si>
  <si>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</si>
  <si>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</si>
  <si>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</si>
  <si>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</si>
  <si>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</si>
  <si>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</si>
  <si>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</si>
  <si>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 xml:space="preserve">kap. 11 - cestovní ruch </t>
  </si>
  <si>
    <t>kap. 12 - správa majetku kraje</t>
  </si>
  <si>
    <t>soustředěné pojištění majetku kraje</t>
  </si>
  <si>
    <t>neinv.transfer Regionální radě regionu soudržnosti SV</t>
  </si>
  <si>
    <t>GS 4.1.2-Medializace turistické nabídky - SR</t>
  </si>
  <si>
    <t>GS 4.2.2-Moder.a rozš.ubytovacích kapacit KHK-SR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</si>
  <si>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</si>
  <si>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</si>
  <si>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</si>
  <si>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</si>
  <si>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</si>
  <si>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</si>
  <si>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</si>
  <si>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podp.výuky méně vyuč.cizích jazyků - SR</t>
  </si>
  <si>
    <t>fin.asistentů pedagoga - SR</t>
  </si>
  <si>
    <t>zvýšení nenárokových složek platů pedagogů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</si>
  <si>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</si>
  <si>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</si>
  <si>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</si>
  <si>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</si>
  <si>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</si>
  <si>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</si>
  <si>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</si>
  <si>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</si>
  <si>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</si>
  <si>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</si>
  <si>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</si>
  <si>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</si>
  <si>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</si>
  <si>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</si>
  <si>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</si>
  <si>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</si>
  <si>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</si>
  <si>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</si>
  <si>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</si>
  <si>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</si>
  <si>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</si>
  <si>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</si>
  <si>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</si>
  <si>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</si>
  <si>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</si>
  <si>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</si>
  <si>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</si>
  <si>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</si>
  <si>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</si>
  <si>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</si>
  <si>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</si>
  <si>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</si>
  <si>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</si>
  <si>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</si>
  <si>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</si>
  <si>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</si>
  <si>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</si>
  <si>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</si>
  <si>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</si>
  <si>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</si>
  <si>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</si>
  <si>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</si>
  <si>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</si>
  <si>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</si>
  <si>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</si>
  <si>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</si>
  <si>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</si>
  <si>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</si>
  <si>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</si>
  <si>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</si>
  <si>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</si>
  <si>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</si>
  <si>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</si>
  <si>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</si>
  <si>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</si>
  <si>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</si>
  <si>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</si>
  <si>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</si>
  <si>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</si>
  <si>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</si>
  <si>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</si>
  <si>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OPVK-rozvoj kompet.říd.prac.škol v KHK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</si>
  <si>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</si>
  <si>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</si>
  <si>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</si>
  <si>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</si>
  <si>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</si>
  <si>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</si>
  <si>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</si>
  <si>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</si>
  <si>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</si>
  <si>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</si>
  <si>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</si>
  <si>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</si>
  <si>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</si>
  <si>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</si>
  <si>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</si>
  <si>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</si>
  <si>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 xml:space="preserve">OPLZZ Vzd.poskyt.a zadavat. soc.sl.KHK IV.- SR </t>
  </si>
  <si>
    <t>OP LZZ Podpora soc.integr.obyv.vylouč.lok.v KHK II - SR</t>
  </si>
  <si>
    <t>ROP silnice a mosty - dotace z RRRS SV 2010</t>
  </si>
  <si>
    <t>OPVK-spolupr.VOŠ,VŠ a zaměst.při modern.vzděl.progr.-SR</t>
  </si>
  <si>
    <t xml:space="preserve">GG 1.2.OPVK-Rovné příl.dětí a ž.se sp.potř.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</si>
  <si>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</si>
  <si>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</si>
  <si>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</si>
  <si>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</si>
  <si>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</si>
  <si>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>projekty RRRS SV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</si>
  <si>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</si>
  <si>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</si>
  <si>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</si>
  <si>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</si>
  <si>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</si>
  <si>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</si>
  <si>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</si>
  <si>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</si>
  <si>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</si>
  <si>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</si>
  <si>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</si>
  <si>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</si>
  <si>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</si>
  <si>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zapojení zůstatku sociálního fondu z min.let</t>
  </si>
  <si>
    <t>zajiš.podm.zákl.vzděl.nezlet.azyl.na území ČR - SR</t>
  </si>
  <si>
    <t xml:space="preserve">  z MŽP</t>
  </si>
  <si>
    <t xml:space="preserve">  z SFŽP</t>
  </si>
  <si>
    <t>podpora činnosti informačních center - SR</t>
  </si>
  <si>
    <t>OP LZZ - zvýš.kvality řízení v úřadech úz.veř.spr.-SR</t>
  </si>
  <si>
    <t>dotace prostřednictvím čerpacích účtů - SR</t>
  </si>
  <si>
    <t>Dobrovolnictví na Náchodsku - SR</t>
  </si>
  <si>
    <t xml:space="preserve">OPVK-zvyš.kval.vzděl.zlepš.říd.procesů ve školách-SR 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</si>
  <si>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</si>
  <si>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</si>
  <si>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</si>
  <si>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</si>
  <si>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</si>
  <si>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</si>
  <si>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</si>
  <si>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</si>
  <si>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</si>
  <si>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</si>
  <si>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</si>
  <si>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</si>
  <si>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</si>
  <si>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</si>
  <si>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</si>
  <si>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>OPVK-zvyš.kval.vzděl.zlepš.říd.procesů ve školách-SR 2011</t>
  </si>
  <si>
    <t>OP VK 5.1. - Technické zajištění, hodnotitelé,mzdy - SR 2011</t>
  </si>
  <si>
    <t>OP VK 5. 2. - Publicita a informovanost - SR 2011</t>
  </si>
  <si>
    <t>OPVK 1.5 - zlepšení podm.pro vzděl.na SŠ - SR</t>
  </si>
  <si>
    <t>excelence středních škol - SR</t>
  </si>
  <si>
    <t>NA ROK 2013</t>
  </si>
  <si>
    <t>kap. 21 - investice a evropské projekty</t>
  </si>
  <si>
    <t>kap. 48 - Dotační fond KHK</t>
  </si>
  <si>
    <t xml:space="preserve">neinvestiční transfery a.s. ZOO Dvůr Králové n. L. </t>
  </si>
  <si>
    <t xml:space="preserve">neinvestiční transfery a.s. - ZOO Dvůr Králové n. L. </t>
  </si>
  <si>
    <t>kap. 13 - evropská integrace a globální granty</t>
  </si>
  <si>
    <t>Modernizace a dostavba ON Náchod - úvěr</t>
  </si>
  <si>
    <t xml:space="preserve">                                  - Centrum EP-centrum sdíl.služeb</t>
  </si>
  <si>
    <t>EPC - běžné výdaje</t>
  </si>
  <si>
    <t>EPC - kapitálové výdaje</t>
  </si>
  <si>
    <t>kapitálové výdaje - doprava</t>
  </si>
  <si>
    <t>průmyslová zóna Vrchlabí</t>
  </si>
  <si>
    <t xml:space="preserve">kofinancování a předfinancování: </t>
  </si>
  <si>
    <t xml:space="preserve">                 doprava</t>
  </si>
  <si>
    <t xml:space="preserve">                 školství</t>
  </si>
  <si>
    <t xml:space="preserve">                 sociální věci</t>
  </si>
  <si>
    <t>v tom: Centrum EP - centrum sdíl.sl. - přísp.na provoz</t>
  </si>
  <si>
    <t xml:space="preserve">          rezerva - inv.</t>
  </si>
  <si>
    <t xml:space="preserve">                 zdravotnictví</t>
  </si>
  <si>
    <t xml:space="preserve">                                  - Centrum EP - zóna Vrchlabí</t>
  </si>
  <si>
    <t>OP LZZ Služby soc.prevence v KHK II - SR r. 2012</t>
  </si>
  <si>
    <t>OP LZZ Podpora soc.integr.obyv.vylouč.lok.v KHK III - SR r.2012</t>
  </si>
  <si>
    <t>Česko-slovenská výměna zkuš.v obl.práce a soc.věcí - SR r. 2012</t>
  </si>
  <si>
    <t>Projekt technické pomoci OPPS ČR-PR 2007-2013 - SR 2012</t>
  </si>
  <si>
    <t>2GG 1.1.OPVK-Zvyšování kvality ve vzděl.II. - SR 2012</t>
  </si>
  <si>
    <t>2GG 1.2.OPVK-Rovné příl.dětí a ž.se sp.potř. II. - SR 2012</t>
  </si>
  <si>
    <t>2GG1.3.OPVK-Další vzděl.prac.škol a zař.  II. - SR 2012</t>
  </si>
  <si>
    <t>GG 1.1.OPVK-Zvyšování kvality ve vzdělávání - SR r.2012</t>
  </si>
  <si>
    <t>GG 1.1.OPVK-Zvyšování kvality ve vzděl.- SR  2012</t>
  </si>
  <si>
    <t>GG 1.2.OPVK-Rovné příl.dětí a ž.se sp.potř.-SR 2012</t>
  </si>
  <si>
    <t>GG1.3.OPVK-Další vzděl.prac.škol a zař. - SR 2012</t>
  </si>
  <si>
    <t>GG 1.2.OPVK-Rovné přílež.dětí a ž.se sp.potř.- SR r.2012</t>
  </si>
  <si>
    <t>GG1.3.OPVK-Další vzděl.prac.škol a zař. - SR r.2012</t>
  </si>
  <si>
    <t>GG VK 3.2 - Podpora nabídky dalšího vzdělávání - SR 2012</t>
  </si>
  <si>
    <t>GG OPVK 3.2 - Podpora nabídky dalšího vzdělávání - SR 2012</t>
  </si>
  <si>
    <t>OP VK 5.1. - Technická pomoc - administrace 2-SR 2012</t>
  </si>
  <si>
    <t>OP VK 5.3. - Podpora tvorby a přípravy projektů II - SR 2012</t>
  </si>
  <si>
    <t>Strategie integr.spolupr.česko-polského příhr.- SR 2012</t>
  </si>
  <si>
    <t>Digitální planetárium - SR 2012</t>
  </si>
  <si>
    <t>Modernizace přístup.komunikací k hranič.přech.-SR 2012</t>
  </si>
  <si>
    <t xml:space="preserve">rezerva </t>
  </si>
  <si>
    <t>volba prezidenta České republiky - SR</t>
  </si>
  <si>
    <t xml:space="preserve">2GG1.3.OPVK-Další vzděl.prac.škol a zař.  II. - SR </t>
  </si>
  <si>
    <t xml:space="preserve">2GG 1.1.OPVK-Zvyšování kvality ve vzděl.II. - SR </t>
  </si>
  <si>
    <t>OP LZZ - vzdělávání v eGON centrech krajů - SR 2012</t>
  </si>
  <si>
    <t>OP LZZ - zvýš.kvality řízení v úřadech úz.veř.spr.-SR 2012</t>
  </si>
  <si>
    <t>OP LZZ - rozvoj lektorského týmu - SR 2012</t>
  </si>
  <si>
    <t>průmyslová zóna Kvasiny</t>
  </si>
  <si>
    <t>GP - rovné příležitosti žen a mužů na KÚ KHK - SR 2012</t>
  </si>
  <si>
    <t xml:space="preserve">2GG 1.2.OPVK-Rovné příl.dětí a ž.se sp.potř. II. - SR </t>
  </si>
  <si>
    <t>bezpl.výuka přizpůsobená potřebám žáků-cizinců - SR</t>
  </si>
  <si>
    <t xml:space="preserve">                 kultura</t>
  </si>
  <si>
    <t>investiční transfery obcím - Město Jičín</t>
  </si>
  <si>
    <t>investiční transfery obcím - Město Nový Bydžov</t>
  </si>
  <si>
    <t>OP LZZ Rozvoj dostup.a kvality soc.sl.v KHK II - SR 2012</t>
  </si>
  <si>
    <t>OP LZZ Služby soc.prevence v KHK - SR r. 2012</t>
  </si>
  <si>
    <t>OP LZZ Podpora soc.integr.obyv.vylouč.lok.v KHK II - SR r.2012</t>
  </si>
  <si>
    <t>OPLZZ Vzd.poskyt.a zadavat. soc.sl.KHK IV.- SR r.2012</t>
  </si>
  <si>
    <t xml:space="preserve">                 org. 7777 a 9999</t>
  </si>
  <si>
    <t>OPVK-rozvoj kompet.říd.prac.škol v KHK - SR 2012</t>
  </si>
  <si>
    <t xml:space="preserve">       v tom: evropská integrace - ostatní</t>
  </si>
  <si>
    <t xml:space="preserve">investiční transfery obcím </t>
  </si>
  <si>
    <t>investiční transfery obcím - Město Clumec nad Cidlinou</t>
  </si>
  <si>
    <t xml:space="preserve">  v tom: životní prostředí a zemědělství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</si>
  <si>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</si>
  <si>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</si>
  <si>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</si>
  <si>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</si>
  <si>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</si>
  <si>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</si>
  <si>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AU</t>
  </si>
  <si>
    <t>ÚZ</t>
  </si>
  <si>
    <t>org.21</t>
  </si>
  <si>
    <t xml:space="preserve">OP VK 5.1. - Technická pomoc - administrace 2-SR </t>
  </si>
  <si>
    <t xml:space="preserve">OP LZZ Služby soc.prevence v KHK II - SR </t>
  </si>
  <si>
    <t xml:space="preserve">OP LZZ Podpora soc.integr.obyv.vylouč.lok.v KHK III - SR </t>
  </si>
  <si>
    <t xml:space="preserve">Česko-slovenská výměna zkuš.v obl.práce a soc.věcí - SR </t>
  </si>
  <si>
    <t xml:space="preserve">OP LZZ Rozvoj dostup.a kvality soc.sl.v KHK III - SR </t>
  </si>
  <si>
    <t xml:space="preserve">  z MZV</t>
  </si>
  <si>
    <t>posilování absorpčních kapacit regionu Banát - SR</t>
  </si>
  <si>
    <t>investiční transfer - Centrum EP-centrum sdíl.sl.</t>
  </si>
  <si>
    <t xml:space="preserve">ROP silnice a mosty - vratka dotace RRRS SV 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</si>
  <si>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</si>
  <si>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</si>
  <si>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</si>
  <si>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</si>
  <si>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zdravotnictví</t>
  </si>
  <si>
    <t>04 001</t>
  </si>
  <si>
    <t>OJ 61</t>
  </si>
  <si>
    <t>1400,0100</t>
  </si>
  <si>
    <t>04359</t>
  </si>
  <si>
    <t>3300,0100</t>
  </si>
  <si>
    <t>národní program řešení problematiky HIV/AIDS - SR</t>
  </si>
  <si>
    <t>kontaktní centrum a terénní služby na malém městě - SR</t>
  </si>
  <si>
    <t>výdaje jednotek sborů dobrovolných hasičů obcí - SR</t>
  </si>
  <si>
    <t xml:space="preserve">CEP, a.s. </t>
  </si>
  <si>
    <t xml:space="preserve">neinvestiční půjčené prostředky   </t>
  </si>
  <si>
    <t>připravenost poskyt. ZZS na mimoř.a krizové situace - SR</t>
  </si>
  <si>
    <t>nedaňové příjmy odvětví ostatní</t>
  </si>
  <si>
    <t>investiční věcný dar</t>
  </si>
  <si>
    <t xml:space="preserve">             sociální věci</t>
  </si>
  <si>
    <t>podpora soc.znevýh.romských žáků SŠ a studentů VOŠ  - SR</t>
  </si>
  <si>
    <t xml:space="preserve">OP VK 5.3. - Podpora tvorby a přípravy projektů II - SR </t>
  </si>
  <si>
    <t>vybavení školských poraden. zařízení diagnost.nástroji - SR</t>
  </si>
  <si>
    <t>řešení krizové situace při povodních v červnu 2013 - SR</t>
  </si>
  <si>
    <t xml:space="preserve">Strategie integr.spolupr.česko-polského příhr.- SR </t>
  </si>
  <si>
    <t>LABEL - transfery ze zahraničí</t>
  </si>
  <si>
    <t>krytí škod v dopr.infrastruktuře po povodních 2013 - SR</t>
  </si>
  <si>
    <t>Přeshraniční spolupráce ZZS KHK a Jelenie Góry - SR</t>
  </si>
  <si>
    <t xml:space="preserve">  odvětví investice a evropské projekty</t>
  </si>
  <si>
    <t>IOP - II. Digitální mapa veřejné správy ÚKM a ÚAP - SR</t>
  </si>
  <si>
    <t>ÚZ 70</t>
  </si>
  <si>
    <t>IOP - I. a VI. Technologické centrum a el.spis.služba KHK - SR</t>
  </si>
  <si>
    <t xml:space="preserve">Digitální planetárium - SR </t>
  </si>
  <si>
    <t>OJ 62,org.50</t>
  </si>
  <si>
    <t>org.57</t>
  </si>
  <si>
    <t>org.13</t>
  </si>
  <si>
    <t>org.60</t>
  </si>
  <si>
    <t xml:space="preserve">             org. 7777</t>
  </si>
  <si>
    <t xml:space="preserve">   v tom: Centrum EP, PO</t>
  </si>
  <si>
    <t>soc.a zdr.služby pro osoby závislé a závislostí ohrožené - SR</t>
  </si>
  <si>
    <t>nedaňové příjmy odvětví regionální rozvoj</t>
  </si>
  <si>
    <t xml:space="preserve">  od DSO</t>
  </si>
  <si>
    <t>podpora implementace Etické výchovy v ZŠ a vícel.gymn.-SR</t>
  </si>
  <si>
    <t>průmyslová zóna Vrchlabí - SR</t>
  </si>
  <si>
    <t xml:space="preserve">Pozměňovací </t>
  </si>
  <si>
    <t>Centrum studií a prez.krajk.řemesla-Centrum krajky - SR</t>
  </si>
  <si>
    <t>OPVK-E-learning a kreditní systém do VOŠ - SR</t>
  </si>
  <si>
    <t>volby do PS Parlamentu ČR - SR</t>
  </si>
  <si>
    <t>OP VK - Podpora přírod.a technického vzdělávání v KHK - SR</t>
  </si>
  <si>
    <t>podpora logop.prevence v předšk.vzdělávání - SR</t>
  </si>
  <si>
    <t xml:space="preserve">OP LZZ Rozvoj dostup.a kvality soc.sl.v KHK IV - SR </t>
  </si>
  <si>
    <t>mimoř.výdaje na činnost SDH obcí při povodň.pracech - SR</t>
  </si>
  <si>
    <t xml:space="preserve">                                                    -  inv.transfer PO                                 </t>
  </si>
  <si>
    <t>preventivní ochrana před vlivy prostředí - SR</t>
  </si>
  <si>
    <t>Transformace sociálních zařízení - čerpací limit SR</t>
  </si>
  <si>
    <t>investiční transfery obcím - obec Vysoká nad Labem</t>
  </si>
  <si>
    <t>investiční transfery obcím  - obec Stěžery</t>
  </si>
  <si>
    <t>zmírnění škod způsobených povodněmi v červnu 2013 - SR</t>
  </si>
  <si>
    <t>Evropská jazyková cena LABEL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</si>
</sst>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2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0" fillId="0" borderId="10" xfId="0" applyFill="1" applyBorder="1" applyAlignment="1">
      <alignment/>
    </xf>
    <xf numFmtId="3" fontId="4" fillId="0" borderId="12" xfId="0" applyFont="1" applyBorder="1" applyAlignment="1">
      <alignment/>
    </xf>
    <xf numFmtId="3" fontId="3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2" xfId="0" applyBorder="1" applyAlignment="1">
      <alignment vertical="center"/>
    </xf>
    <xf numFmtId="3" fontId="47" fillId="0" borderId="0" xfId="0" applyFont="1" applyAlignment="1">
      <alignment/>
    </xf>
    <xf numFmtId="166" fontId="3" fillId="0" borderId="10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3" fillId="0" borderId="14" xfId="38" applyNumberFormat="1" applyFont="1" applyBorder="1" applyAlignment="1">
      <alignment vertical="center"/>
    </xf>
    <xf numFmtId="166" fontId="2" fillId="0" borderId="14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Fill="1" applyBorder="1" applyAlignment="1">
      <alignment/>
    </xf>
    <xf numFmtId="3" fontId="4" fillId="0" borderId="14" xfId="0" applyFont="1" applyBorder="1" applyAlignment="1">
      <alignment horizontal="center" vertical="center"/>
    </xf>
    <xf numFmtId="3" fontId="4" fillId="0" borderId="12" xfId="0" applyFont="1" applyBorder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3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6" fontId="7" fillId="0" borderId="10" xfId="38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0" fillId="0" borderId="10" xfId="0" applyFont="1" applyBorder="1" applyAlignment="1">
      <alignment horizontal="center"/>
    </xf>
    <xf numFmtId="3" fontId="7" fillId="0" borderId="10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166" fontId="0" fillId="0" borderId="10" xfId="38" applyNumberFormat="1" applyFont="1" applyBorder="1" applyAlignment="1">
      <alignment/>
    </xf>
    <xf numFmtId="3" fontId="6" fillId="0" borderId="1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3" fontId="7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6" fontId="0" fillId="0" borderId="11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5" fontId="10" fillId="0" borderId="14" xfId="38" applyNumberFormat="1" applyFont="1" applyBorder="1" applyAlignment="1">
      <alignment horizontal="center"/>
    </xf>
    <xf numFmtId="165" fontId="10" fillId="0" borderId="12" xfId="38" applyNumberFormat="1" applyFont="1" applyBorder="1" applyAlignment="1">
      <alignment horizontal="center"/>
    </xf>
    <xf numFmtId="167" fontId="4" fillId="0" borderId="10" xfId="38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167" fontId="0" fillId="0" borderId="11" xfId="0" applyNumberFormat="1" applyBorder="1" applyAlignment="1">
      <alignment/>
    </xf>
    <xf numFmtId="167" fontId="4" fillId="0" borderId="10" xfId="38" applyNumberFormat="1" applyFont="1" applyBorder="1" applyAlignment="1">
      <alignment/>
    </xf>
    <xf numFmtId="167" fontId="0" fillId="0" borderId="12" xfId="0" applyNumberForma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5" xfId="38" applyNumberFormat="1" applyFont="1" applyBorder="1" applyAlignment="1">
      <alignment/>
    </xf>
    <xf numFmtId="167" fontId="0" fillId="0" borderId="10" xfId="38" applyNumberFormat="1" applyFont="1" applyBorder="1" applyAlignment="1">
      <alignment/>
    </xf>
    <xf numFmtId="167" fontId="3" fillId="0" borderId="13" xfId="38" applyNumberFormat="1" applyFont="1" applyBorder="1" applyAlignment="1">
      <alignment vertical="center"/>
    </xf>
    <xf numFmtId="167" fontId="2" fillId="0" borderId="13" xfId="38" applyNumberFormat="1" applyFont="1" applyBorder="1" applyAlignment="1">
      <alignment vertical="center"/>
    </xf>
    <xf numFmtId="167" fontId="3" fillId="0" borderId="14" xfId="38" applyNumberFormat="1" applyFont="1" applyBorder="1" applyAlignment="1">
      <alignment vertical="center"/>
    </xf>
    <xf numFmtId="167" fontId="3" fillId="0" borderId="10" xfId="38" applyNumberFormat="1" applyFont="1" applyBorder="1" applyAlignment="1">
      <alignment vertical="center"/>
    </xf>
    <xf numFmtId="167" fontId="3" fillId="0" borderId="12" xfId="38" applyNumberFormat="1" applyFont="1" applyBorder="1" applyAlignment="1">
      <alignment vertical="center"/>
    </xf>
    <xf numFmtId="167" fontId="2" fillId="0" borderId="14" xfId="38" applyNumberFormat="1" applyFont="1" applyBorder="1" applyAlignment="1">
      <alignment vertical="center"/>
    </xf>
    <xf numFmtId="3" fontId="0" fillId="0" borderId="16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7"/>
  <sheetViews>
    <sheetView tabSelected="1" zoomScaleSheetLayoutView="69" zoomScalePageLayoutView="0" workbookViewId="0" topLeftCell="A1">
      <pane xSplit="1" ySplit="9" topLeftCell="C36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81" sqref="R381"/>
    </sheetView>
  </sheetViews>
  <sheetFormatPr defaultColWidth="9.00390625" defaultRowHeight="12.75"/>
  <cols>
    <col min="1" max="1" width="52.625" style="0" customWidth="1"/>
    <col min="2" max="2" width="9.00390625" style="0" hidden="1" customWidth="1"/>
    <col min="3" max="3" width="14.875" style="0" customWidth="1"/>
    <col min="4" max="4" width="15.25390625" style="0" hidden="1" customWidth="1"/>
    <col min="5" max="5" width="12.875" style="0" hidden="1" customWidth="1"/>
    <col min="6" max="6" width="14.625" style="0" hidden="1" customWidth="1"/>
    <col min="7" max="7" width="13.75390625" style="0" hidden="1" customWidth="1"/>
    <col min="8" max="8" width="12.75390625" style="0" hidden="1" customWidth="1"/>
    <col min="9" max="9" width="14.125" style="0" hidden="1" customWidth="1"/>
    <col min="10" max="11" width="13.75390625" style="0" hidden="1" customWidth="1"/>
    <col min="12" max="12" width="14.125" style="0" hidden="1" customWidth="1"/>
    <col min="13" max="13" width="11.875" style="0" hidden="1" customWidth="1"/>
    <col min="14" max="14" width="12.125" style="0" hidden="1" customWidth="1"/>
    <col min="15" max="15" width="14.00390625" style="0" customWidth="1"/>
    <col min="16" max="16" width="13.25390625" style="0" customWidth="1"/>
    <col min="17" max="17" width="13.25390625" style="0" hidden="1" customWidth="1"/>
    <col min="18" max="18" width="15.125" style="0" customWidth="1"/>
  </cols>
  <sheetData>
    <row r="1" spans="3:18" ht="12.75">
      <c r="C1" s="1"/>
      <c r="D1" s="1"/>
      <c r="E1" s="1"/>
      <c r="F1" s="2"/>
      <c r="I1" s="2"/>
      <c r="L1" s="2"/>
      <c r="O1" s="2"/>
      <c r="R1" s="2" t="s">
        <v>180</v>
      </c>
    </row>
    <row r="2" spans="3:6" ht="9.75" customHeight="1">
      <c r="C2" s="1"/>
      <c r="D2" s="1"/>
      <c r="E2" s="1"/>
      <c r="F2" s="2"/>
    </row>
    <row r="3" spans="1:18" ht="15.75">
      <c r="A3" s="99" t="s">
        <v>0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5.75">
      <c r="A4" s="101" t="s">
        <v>254</v>
      </c>
      <c r="B4" s="10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5">
      <c r="A5" s="102" t="s">
        <v>1</v>
      </c>
      <c r="B5" s="102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2.75">
      <c r="A6" s="103" t="s">
        <v>2</v>
      </c>
      <c r="B6" s="10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6" ht="18" customHeight="1" thickBot="1">
      <c r="A7" s="3"/>
      <c r="B7" s="3"/>
      <c r="C7" s="4"/>
      <c r="D7" s="4"/>
      <c r="E7" s="4"/>
      <c r="F7" s="4"/>
      <c r="J7" s="34"/>
      <c r="M7" s="31"/>
      <c r="P7" s="31"/>
    </row>
    <row r="8" spans="1:18" ht="12.75">
      <c r="A8" s="104" t="s">
        <v>3</v>
      </c>
      <c r="B8" s="57" t="s">
        <v>324</v>
      </c>
      <c r="C8" s="45" t="s">
        <v>4</v>
      </c>
      <c r="D8" s="45" t="s">
        <v>5</v>
      </c>
      <c r="E8" s="45" t="s">
        <v>6</v>
      </c>
      <c r="F8" s="45" t="s">
        <v>7</v>
      </c>
      <c r="G8" s="45" t="s">
        <v>8</v>
      </c>
      <c r="H8" s="45" t="s">
        <v>6</v>
      </c>
      <c r="I8" s="45" t="s">
        <v>7</v>
      </c>
      <c r="J8" s="45" t="s">
        <v>9</v>
      </c>
      <c r="K8" s="45" t="s">
        <v>6</v>
      </c>
      <c r="L8" s="45" t="s">
        <v>7</v>
      </c>
      <c r="M8" s="45" t="s">
        <v>10</v>
      </c>
      <c r="N8" s="81" t="s">
        <v>6</v>
      </c>
      <c r="O8" s="45" t="s">
        <v>7</v>
      </c>
      <c r="P8" s="45" t="s">
        <v>243</v>
      </c>
      <c r="Q8" s="45" t="s">
        <v>379</v>
      </c>
      <c r="R8" s="45" t="s">
        <v>7</v>
      </c>
    </row>
    <row r="9" spans="1:18" ht="13.5" thickBot="1">
      <c r="A9" s="105"/>
      <c r="B9" s="58" t="s">
        <v>325</v>
      </c>
      <c r="C9" s="46" t="s">
        <v>11</v>
      </c>
      <c r="D9" s="46" t="s">
        <v>12</v>
      </c>
      <c r="E9" s="46" t="s">
        <v>13</v>
      </c>
      <c r="F9" s="46" t="s">
        <v>14</v>
      </c>
      <c r="G9" s="46" t="s">
        <v>12</v>
      </c>
      <c r="H9" s="46" t="s">
        <v>13</v>
      </c>
      <c r="I9" s="46" t="s">
        <v>15</v>
      </c>
      <c r="J9" s="46" t="s">
        <v>12</v>
      </c>
      <c r="K9" s="46" t="s">
        <v>13</v>
      </c>
      <c r="L9" s="46" t="s">
        <v>16</v>
      </c>
      <c r="M9" s="46" t="s">
        <v>12</v>
      </c>
      <c r="N9" s="82" t="s">
        <v>13</v>
      </c>
      <c r="O9" s="46" t="s">
        <v>17</v>
      </c>
      <c r="P9" s="46" t="s">
        <v>12</v>
      </c>
      <c r="Q9" s="46" t="s">
        <v>13</v>
      </c>
      <c r="R9" s="46" t="s">
        <v>244</v>
      </c>
    </row>
    <row r="10" spans="1:18" ht="15.75" customHeight="1">
      <c r="A10" s="30" t="s">
        <v>18</v>
      </c>
      <c r="B10" s="3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9"/>
      <c r="N10" s="59"/>
      <c r="O10" s="59"/>
      <c r="P10" s="8"/>
      <c r="Q10" s="8"/>
      <c r="R10" s="8"/>
    </row>
    <row r="11" spans="1:18" ht="12.75">
      <c r="A11" s="5" t="s">
        <v>19</v>
      </c>
      <c r="B11" s="5"/>
      <c r="C11" s="47">
        <v>2990000</v>
      </c>
      <c r="D11" s="47"/>
      <c r="E11" s="47"/>
      <c r="F11" s="47">
        <f>C11+D11+E11</f>
        <v>2990000</v>
      </c>
      <c r="G11" s="47">
        <v>21481.1</v>
      </c>
      <c r="H11" s="47"/>
      <c r="I11" s="47">
        <f>F11+G11+H11</f>
        <v>3011481.1</v>
      </c>
      <c r="J11" s="47"/>
      <c r="K11" s="47"/>
      <c r="L11" s="47">
        <f>I11+J11+K11</f>
        <v>3011481.1</v>
      </c>
      <c r="M11" s="47"/>
      <c r="N11" s="47">
        <v>2250</v>
      </c>
      <c r="O11" s="47">
        <f>L11+M11+N11</f>
        <v>3013731.1</v>
      </c>
      <c r="P11" s="75"/>
      <c r="Q11" s="75"/>
      <c r="R11" s="88">
        <f>O11+P11+Q11</f>
        <v>3013731.1</v>
      </c>
    </row>
    <row r="12" spans="1:18" ht="12.75">
      <c r="A12" s="6" t="s">
        <v>20</v>
      </c>
      <c r="B12" s="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5"/>
      <c r="Q12" s="75"/>
      <c r="R12" s="75"/>
    </row>
    <row r="13" spans="1:18" ht="12.75">
      <c r="A13" s="7" t="s">
        <v>21</v>
      </c>
      <c r="B13" s="7"/>
      <c r="C13" s="47"/>
      <c r="D13" s="48"/>
      <c r="E13" s="48"/>
      <c r="F13" s="48">
        <f>C13+D13+E13</f>
        <v>0</v>
      </c>
      <c r="G13" s="48">
        <v>21481.1</v>
      </c>
      <c r="H13" s="47"/>
      <c r="I13" s="48">
        <f>F13+G13+H13</f>
        <v>21481.1</v>
      </c>
      <c r="J13" s="48"/>
      <c r="K13" s="47"/>
      <c r="L13" s="48">
        <f>I13+J13+K13</f>
        <v>21481.1</v>
      </c>
      <c r="M13" s="48"/>
      <c r="N13" s="47"/>
      <c r="O13" s="48">
        <f>L13+M13+N13</f>
        <v>21481.1</v>
      </c>
      <c r="P13" s="75"/>
      <c r="Q13" s="75"/>
      <c r="R13" s="75">
        <f>O13+P13+Q13</f>
        <v>21481.1</v>
      </c>
    </row>
    <row r="14" spans="1:18" ht="12.75">
      <c r="A14" s="5" t="s">
        <v>22</v>
      </c>
      <c r="B14" s="5"/>
      <c r="C14" s="47">
        <f>SUM(C16:C35)</f>
        <v>253134.9</v>
      </c>
      <c r="D14" s="47">
        <f aca="true" t="shared" si="0" ref="D14:R14">SUM(D16:D35)</f>
        <v>0</v>
      </c>
      <c r="E14" s="47">
        <f t="shared" si="0"/>
        <v>0</v>
      </c>
      <c r="F14" s="47">
        <f t="shared" si="0"/>
        <v>253134.9</v>
      </c>
      <c r="G14" s="47">
        <f t="shared" si="0"/>
        <v>448.3</v>
      </c>
      <c r="H14" s="47">
        <f t="shared" si="0"/>
        <v>-2490.1</v>
      </c>
      <c r="I14" s="47">
        <f t="shared" si="0"/>
        <v>251093.1</v>
      </c>
      <c r="J14" s="47">
        <f t="shared" si="0"/>
        <v>3800.199999999999</v>
      </c>
      <c r="K14" s="47">
        <f t="shared" si="0"/>
        <v>6291.5</v>
      </c>
      <c r="L14" s="47">
        <f t="shared" si="0"/>
        <v>261184.8</v>
      </c>
      <c r="M14" s="47">
        <f t="shared" si="0"/>
        <v>20794.899999999998</v>
      </c>
      <c r="N14" s="47">
        <f t="shared" si="0"/>
        <v>-178</v>
      </c>
      <c r="O14" s="47">
        <f t="shared" si="0"/>
        <v>281801.69999999995</v>
      </c>
      <c r="P14" s="83">
        <f t="shared" si="0"/>
        <v>5184.099999999999</v>
      </c>
      <c r="Q14" s="83">
        <f t="shared" si="0"/>
        <v>0</v>
      </c>
      <c r="R14" s="83">
        <f t="shared" si="0"/>
        <v>286985.79999999993</v>
      </c>
    </row>
    <row r="15" spans="1:18" ht="10.5" customHeight="1">
      <c r="A15" s="6" t="s">
        <v>23</v>
      </c>
      <c r="B15" s="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5"/>
      <c r="Q15" s="75"/>
      <c r="R15" s="75"/>
    </row>
    <row r="16" spans="1:18" ht="12.75">
      <c r="A16" s="7" t="s">
        <v>24</v>
      </c>
      <c r="B16" s="7"/>
      <c r="C16" s="48">
        <v>4000</v>
      </c>
      <c r="D16" s="48"/>
      <c r="E16" s="48"/>
      <c r="F16" s="48">
        <f>C16+D16+E16</f>
        <v>4000</v>
      </c>
      <c r="G16" s="48"/>
      <c r="H16" s="48"/>
      <c r="I16" s="48">
        <f>F16+G16+H16</f>
        <v>4000</v>
      </c>
      <c r="J16" s="48"/>
      <c r="K16" s="48"/>
      <c r="L16" s="48">
        <f>I16+J16+K16</f>
        <v>4000</v>
      </c>
      <c r="M16" s="48"/>
      <c r="N16" s="48"/>
      <c r="O16" s="48">
        <f>L16+M16+N16</f>
        <v>4000</v>
      </c>
      <c r="P16" s="75"/>
      <c r="Q16" s="75"/>
      <c r="R16" s="75">
        <f>O16+P16+Q16</f>
        <v>4000</v>
      </c>
    </row>
    <row r="17" spans="1:18" ht="12.75">
      <c r="A17" s="7" t="s">
        <v>25</v>
      </c>
      <c r="B17" s="7"/>
      <c r="C17" s="48"/>
      <c r="D17" s="48"/>
      <c r="E17" s="48"/>
      <c r="F17" s="48">
        <f aca="true" t="shared" si="1" ref="F17:F34">C17+D17+E17</f>
        <v>0</v>
      </c>
      <c r="G17" s="48"/>
      <c r="H17" s="48"/>
      <c r="I17" s="48">
        <f aca="true" t="shared" si="2" ref="I17:I34">F17+G17+H17</f>
        <v>0</v>
      </c>
      <c r="J17" s="48">
        <v>2000</v>
      </c>
      <c r="K17" s="48"/>
      <c r="L17" s="48">
        <f aca="true" t="shared" si="3" ref="L17:L34">I17+J17+K17</f>
        <v>2000</v>
      </c>
      <c r="M17" s="48">
        <v>13000</v>
      </c>
      <c r="N17" s="48"/>
      <c r="O17" s="48">
        <f aca="true" t="shared" si="4" ref="O17:O34">L17+M17+N17</f>
        <v>15000</v>
      </c>
      <c r="P17" s="75"/>
      <c r="Q17" s="75"/>
      <c r="R17" s="75">
        <f aca="true" t="shared" si="5" ref="R17:R34">O17+P17+Q17</f>
        <v>15000</v>
      </c>
    </row>
    <row r="18" spans="1:18" ht="12.75" hidden="1">
      <c r="A18" s="7" t="s">
        <v>26</v>
      </c>
      <c r="B18" s="7"/>
      <c r="C18" s="48"/>
      <c r="D18" s="48"/>
      <c r="E18" s="48"/>
      <c r="F18" s="48">
        <f t="shared" si="1"/>
        <v>0</v>
      </c>
      <c r="G18" s="48"/>
      <c r="H18" s="48"/>
      <c r="I18" s="48">
        <f t="shared" si="2"/>
        <v>0</v>
      </c>
      <c r="J18" s="48"/>
      <c r="K18" s="48"/>
      <c r="L18" s="48">
        <f t="shared" si="3"/>
        <v>0</v>
      </c>
      <c r="M18" s="48"/>
      <c r="N18" s="48"/>
      <c r="O18" s="48">
        <f t="shared" si="4"/>
        <v>0</v>
      </c>
      <c r="P18" s="75"/>
      <c r="Q18" s="75"/>
      <c r="R18" s="75">
        <f t="shared" si="5"/>
        <v>0</v>
      </c>
    </row>
    <row r="19" spans="1:18" ht="12.75" hidden="1">
      <c r="A19" s="7" t="s">
        <v>27</v>
      </c>
      <c r="B19" s="7"/>
      <c r="C19" s="48"/>
      <c r="D19" s="48"/>
      <c r="E19" s="48"/>
      <c r="F19" s="48">
        <f t="shared" si="1"/>
        <v>0</v>
      </c>
      <c r="G19" s="48"/>
      <c r="H19" s="48"/>
      <c r="I19" s="48">
        <f t="shared" si="2"/>
        <v>0</v>
      </c>
      <c r="J19" s="48"/>
      <c r="K19" s="48"/>
      <c r="L19" s="48">
        <f t="shared" si="3"/>
        <v>0</v>
      </c>
      <c r="M19" s="48"/>
      <c r="N19" s="48"/>
      <c r="O19" s="48">
        <f t="shared" si="4"/>
        <v>0</v>
      </c>
      <c r="P19" s="75"/>
      <c r="Q19" s="75"/>
      <c r="R19" s="75">
        <f t="shared" si="5"/>
        <v>0</v>
      </c>
    </row>
    <row r="20" spans="1:18" ht="12.75">
      <c r="A20" s="7" t="s">
        <v>28</v>
      </c>
      <c r="B20" s="7"/>
      <c r="C20" s="48">
        <v>45000</v>
      </c>
      <c r="D20" s="48"/>
      <c r="E20" s="48"/>
      <c r="F20" s="48">
        <f t="shared" si="1"/>
        <v>45000</v>
      </c>
      <c r="G20" s="48"/>
      <c r="H20" s="48"/>
      <c r="I20" s="48">
        <f t="shared" si="2"/>
        <v>45000</v>
      </c>
      <c r="J20" s="48"/>
      <c r="K20" s="48"/>
      <c r="L20" s="48">
        <f t="shared" si="3"/>
        <v>45000</v>
      </c>
      <c r="M20" s="48"/>
      <c r="N20" s="48"/>
      <c r="O20" s="48">
        <f t="shared" si="4"/>
        <v>45000</v>
      </c>
      <c r="P20" s="75"/>
      <c r="Q20" s="75"/>
      <c r="R20" s="75">
        <f t="shared" si="5"/>
        <v>45000</v>
      </c>
    </row>
    <row r="21" spans="1:18" ht="12.75">
      <c r="A21" s="7" t="s">
        <v>29</v>
      </c>
      <c r="B21" s="7"/>
      <c r="C21" s="48"/>
      <c r="D21" s="48"/>
      <c r="E21" s="48"/>
      <c r="F21" s="48">
        <f t="shared" si="1"/>
        <v>0</v>
      </c>
      <c r="G21" s="48"/>
      <c r="H21" s="48"/>
      <c r="I21" s="48">
        <f t="shared" si="2"/>
        <v>0</v>
      </c>
      <c r="J21" s="48"/>
      <c r="K21" s="48"/>
      <c r="L21" s="48">
        <f t="shared" si="3"/>
        <v>0</v>
      </c>
      <c r="M21" s="48"/>
      <c r="N21" s="48"/>
      <c r="O21" s="48">
        <f t="shared" si="4"/>
        <v>0</v>
      </c>
      <c r="P21" s="75"/>
      <c r="Q21" s="75"/>
      <c r="R21" s="75">
        <f t="shared" si="5"/>
        <v>0</v>
      </c>
    </row>
    <row r="22" spans="1:18" ht="12.75">
      <c r="A22" s="7" t="s">
        <v>30</v>
      </c>
      <c r="B22" s="7"/>
      <c r="C22" s="48"/>
      <c r="D22" s="48"/>
      <c r="E22" s="48"/>
      <c r="F22" s="48">
        <f t="shared" si="1"/>
        <v>0</v>
      </c>
      <c r="G22" s="48">
        <f>64.2+367</f>
        <v>431.2</v>
      </c>
      <c r="H22" s="48"/>
      <c r="I22" s="48">
        <f t="shared" si="2"/>
        <v>431.2</v>
      </c>
      <c r="J22" s="48">
        <f>1306.1+3.5</f>
        <v>1309.6</v>
      </c>
      <c r="K22" s="48"/>
      <c r="L22" s="48">
        <f t="shared" si="3"/>
        <v>1740.8</v>
      </c>
      <c r="M22" s="48">
        <f>10+3.2+130.6+17.9+135.7</f>
        <v>297.4</v>
      </c>
      <c r="N22" s="48"/>
      <c r="O22" s="48">
        <f t="shared" si="4"/>
        <v>2038.1999999999998</v>
      </c>
      <c r="P22" s="75">
        <f>5+82.3+0.4</f>
        <v>87.7</v>
      </c>
      <c r="Q22" s="75"/>
      <c r="R22" s="75">
        <f t="shared" si="5"/>
        <v>2125.8999999999996</v>
      </c>
    </row>
    <row r="23" spans="1:18" ht="12.75">
      <c r="A23" s="8" t="s">
        <v>192</v>
      </c>
      <c r="B23" s="8"/>
      <c r="C23" s="48">
        <v>21557.4</v>
      </c>
      <c r="D23" s="48"/>
      <c r="E23" s="48"/>
      <c r="F23" s="48">
        <f t="shared" si="1"/>
        <v>21557.4</v>
      </c>
      <c r="G23" s="48"/>
      <c r="H23" s="48"/>
      <c r="I23" s="48">
        <f t="shared" si="2"/>
        <v>21557.4</v>
      </c>
      <c r="J23" s="48"/>
      <c r="K23" s="48"/>
      <c r="L23" s="48">
        <f t="shared" si="3"/>
        <v>21557.4</v>
      </c>
      <c r="M23" s="48"/>
      <c r="N23" s="48"/>
      <c r="O23" s="48">
        <f t="shared" si="4"/>
        <v>21557.4</v>
      </c>
      <c r="P23" s="75"/>
      <c r="Q23" s="75"/>
      <c r="R23" s="75">
        <f t="shared" si="5"/>
        <v>21557.4</v>
      </c>
    </row>
    <row r="24" spans="1:18" ht="12.75">
      <c r="A24" s="8" t="s">
        <v>212</v>
      </c>
      <c r="B24" s="8"/>
      <c r="C24" s="48">
        <v>57526</v>
      </c>
      <c r="D24" s="48"/>
      <c r="E24" s="48"/>
      <c r="F24" s="48">
        <f t="shared" si="1"/>
        <v>57526</v>
      </c>
      <c r="G24" s="48"/>
      <c r="H24" s="48"/>
      <c r="I24" s="48">
        <f t="shared" si="2"/>
        <v>57526</v>
      </c>
      <c r="J24" s="48">
        <v>583.4</v>
      </c>
      <c r="K24" s="48"/>
      <c r="L24" s="48">
        <f t="shared" si="3"/>
        <v>58109.4</v>
      </c>
      <c r="M24" s="48">
        <v>7198.6</v>
      </c>
      <c r="N24" s="48"/>
      <c r="O24" s="48">
        <f t="shared" si="4"/>
        <v>65308</v>
      </c>
      <c r="P24" s="75">
        <v>4602.8</v>
      </c>
      <c r="Q24" s="75"/>
      <c r="R24" s="75">
        <f t="shared" si="5"/>
        <v>69910.8</v>
      </c>
    </row>
    <row r="25" spans="1:18" ht="12.75" hidden="1">
      <c r="A25" s="8" t="s">
        <v>237</v>
      </c>
      <c r="B25" s="8"/>
      <c r="C25" s="48"/>
      <c r="D25" s="48"/>
      <c r="E25" s="48"/>
      <c r="F25" s="48">
        <f t="shared" si="1"/>
        <v>0</v>
      </c>
      <c r="G25" s="48"/>
      <c r="H25" s="48"/>
      <c r="I25" s="48">
        <f t="shared" si="2"/>
        <v>0</v>
      </c>
      <c r="J25" s="48"/>
      <c r="K25" s="48"/>
      <c r="L25" s="48">
        <f t="shared" si="3"/>
        <v>0</v>
      </c>
      <c r="M25" s="48"/>
      <c r="N25" s="48"/>
      <c r="O25" s="48">
        <f t="shared" si="4"/>
        <v>0</v>
      </c>
      <c r="P25" s="75"/>
      <c r="Q25" s="75"/>
      <c r="R25" s="75">
        <f t="shared" si="5"/>
        <v>0</v>
      </c>
    </row>
    <row r="26" spans="1:18" ht="12.75">
      <c r="A26" s="8" t="s">
        <v>213</v>
      </c>
      <c r="B26" s="8"/>
      <c r="C26" s="48"/>
      <c r="D26" s="48"/>
      <c r="E26" s="48"/>
      <c r="F26" s="48">
        <f t="shared" si="1"/>
        <v>0</v>
      </c>
      <c r="G26" s="48"/>
      <c r="H26" s="48"/>
      <c r="I26" s="48">
        <f t="shared" si="2"/>
        <v>0</v>
      </c>
      <c r="J26" s="48"/>
      <c r="K26" s="48"/>
      <c r="L26" s="48">
        <f t="shared" si="3"/>
        <v>0</v>
      </c>
      <c r="M26" s="48"/>
      <c r="N26" s="48"/>
      <c r="O26" s="48">
        <f t="shared" si="4"/>
        <v>0</v>
      </c>
      <c r="P26" s="75"/>
      <c r="Q26" s="75"/>
      <c r="R26" s="75">
        <f t="shared" si="5"/>
        <v>0</v>
      </c>
    </row>
    <row r="27" spans="1:18" ht="12.75">
      <c r="A27" s="8" t="s">
        <v>214</v>
      </c>
      <c r="B27" s="8"/>
      <c r="C27" s="48"/>
      <c r="D27" s="48"/>
      <c r="E27" s="48"/>
      <c r="F27" s="48">
        <f t="shared" si="1"/>
        <v>0</v>
      </c>
      <c r="G27" s="48"/>
      <c r="H27" s="48"/>
      <c r="I27" s="48">
        <f t="shared" si="2"/>
        <v>0</v>
      </c>
      <c r="J27" s="48">
        <v>960.4</v>
      </c>
      <c r="K27" s="48"/>
      <c r="L27" s="48">
        <f t="shared" si="3"/>
        <v>960.4</v>
      </c>
      <c r="M27" s="48"/>
      <c r="N27" s="48"/>
      <c r="O27" s="48">
        <f t="shared" si="4"/>
        <v>960.4</v>
      </c>
      <c r="P27" s="75">
        <v>149.9</v>
      </c>
      <c r="Q27" s="75"/>
      <c r="R27" s="75">
        <f t="shared" si="5"/>
        <v>1110.3</v>
      </c>
    </row>
    <row r="28" spans="1:18" ht="12.75">
      <c r="A28" s="8" t="s">
        <v>352</v>
      </c>
      <c r="B28" s="8"/>
      <c r="C28" s="48"/>
      <c r="D28" s="48"/>
      <c r="E28" s="48"/>
      <c r="F28" s="48"/>
      <c r="G28" s="48"/>
      <c r="H28" s="48"/>
      <c r="I28" s="48">
        <f t="shared" si="2"/>
        <v>0</v>
      </c>
      <c r="J28" s="48"/>
      <c r="K28" s="48">
        <f>1000+5000</f>
        <v>6000</v>
      </c>
      <c r="L28" s="48">
        <f t="shared" si="3"/>
        <v>6000</v>
      </c>
      <c r="M28" s="48"/>
      <c r="N28" s="48"/>
      <c r="O28" s="48">
        <f t="shared" si="4"/>
        <v>6000</v>
      </c>
      <c r="P28" s="75"/>
      <c r="Q28" s="75"/>
      <c r="R28" s="75">
        <f t="shared" si="5"/>
        <v>6000</v>
      </c>
    </row>
    <row r="29" spans="1:18" ht="12.75">
      <c r="A29" s="8" t="s">
        <v>215</v>
      </c>
      <c r="B29" s="8"/>
      <c r="C29" s="48"/>
      <c r="D29" s="48"/>
      <c r="E29" s="48"/>
      <c r="F29" s="48">
        <f t="shared" si="1"/>
        <v>0</v>
      </c>
      <c r="G29" s="48"/>
      <c r="H29" s="48"/>
      <c r="I29" s="48">
        <f t="shared" si="2"/>
        <v>0</v>
      </c>
      <c r="J29" s="48">
        <v>74.4</v>
      </c>
      <c r="K29" s="48"/>
      <c r="L29" s="48">
        <f t="shared" si="3"/>
        <v>74.4</v>
      </c>
      <c r="M29" s="48"/>
      <c r="N29" s="48"/>
      <c r="O29" s="48">
        <f t="shared" si="4"/>
        <v>74.4</v>
      </c>
      <c r="P29" s="75"/>
      <c r="Q29" s="75"/>
      <c r="R29" s="75">
        <f t="shared" si="5"/>
        <v>74.4</v>
      </c>
    </row>
    <row r="30" spans="1:18" ht="12.75">
      <c r="A30" s="8" t="s">
        <v>216</v>
      </c>
      <c r="B30" s="8"/>
      <c r="C30" s="48"/>
      <c r="D30" s="48"/>
      <c r="E30" s="48"/>
      <c r="F30" s="48">
        <f t="shared" si="1"/>
        <v>0</v>
      </c>
      <c r="G30" s="48">
        <f>7.8</f>
        <v>7.8</v>
      </c>
      <c r="H30" s="48"/>
      <c r="I30" s="48">
        <f t="shared" si="2"/>
        <v>7.8</v>
      </c>
      <c r="J30" s="48">
        <v>2184.4</v>
      </c>
      <c r="K30" s="48"/>
      <c r="L30" s="48">
        <f t="shared" si="3"/>
        <v>2192.2000000000003</v>
      </c>
      <c r="M30" s="48">
        <v>193.8</v>
      </c>
      <c r="N30" s="48"/>
      <c r="O30" s="48">
        <f t="shared" si="4"/>
        <v>2386.0000000000005</v>
      </c>
      <c r="P30" s="75"/>
      <c r="Q30" s="75"/>
      <c r="R30" s="75">
        <f t="shared" si="5"/>
        <v>2386.0000000000005</v>
      </c>
    </row>
    <row r="31" spans="1:18" ht="12.75">
      <c r="A31" s="8" t="s">
        <v>200</v>
      </c>
      <c r="B31" s="8"/>
      <c r="C31" s="48"/>
      <c r="D31" s="48"/>
      <c r="E31" s="48"/>
      <c r="F31" s="48">
        <f t="shared" si="1"/>
        <v>0</v>
      </c>
      <c r="G31" s="48"/>
      <c r="H31" s="48"/>
      <c r="I31" s="48">
        <f t="shared" si="2"/>
        <v>0</v>
      </c>
      <c r="J31" s="48"/>
      <c r="K31" s="48"/>
      <c r="L31" s="48">
        <f t="shared" si="3"/>
        <v>0</v>
      </c>
      <c r="M31" s="48"/>
      <c r="N31" s="48"/>
      <c r="O31" s="48">
        <f t="shared" si="4"/>
        <v>0</v>
      </c>
      <c r="P31" s="75"/>
      <c r="Q31" s="75"/>
      <c r="R31" s="75">
        <f t="shared" si="5"/>
        <v>0</v>
      </c>
    </row>
    <row r="32" spans="1:18" ht="12.75">
      <c r="A32" s="8" t="s">
        <v>217</v>
      </c>
      <c r="B32" s="8"/>
      <c r="C32" s="48"/>
      <c r="D32" s="48"/>
      <c r="E32" s="48"/>
      <c r="F32" s="48">
        <f t="shared" si="1"/>
        <v>0</v>
      </c>
      <c r="G32" s="48"/>
      <c r="H32" s="48"/>
      <c r="I32" s="48">
        <f t="shared" si="2"/>
        <v>0</v>
      </c>
      <c r="J32" s="48"/>
      <c r="K32" s="48"/>
      <c r="L32" s="48">
        <f t="shared" si="3"/>
        <v>0</v>
      </c>
      <c r="M32" s="48"/>
      <c r="N32" s="48"/>
      <c r="O32" s="48">
        <f t="shared" si="4"/>
        <v>0</v>
      </c>
      <c r="P32" s="75"/>
      <c r="Q32" s="75"/>
      <c r="R32" s="75">
        <f t="shared" si="5"/>
        <v>0</v>
      </c>
    </row>
    <row r="33" spans="1:18" ht="12.75">
      <c r="A33" s="8" t="s">
        <v>375</v>
      </c>
      <c r="B33" s="8"/>
      <c r="C33" s="48"/>
      <c r="D33" s="48"/>
      <c r="E33" s="48"/>
      <c r="F33" s="48"/>
      <c r="G33" s="48"/>
      <c r="H33" s="48"/>
      <c r="I33" s="48"/>
      <c r="J33" s="48"/>
      <c r="K33" s="48"/>
      <c r="L33" s="48">
        <f t="shared" si="3"/>
        <v>0</v>
      </c>
      <c r="M33" s="48">
        <v>105.1</v>
      </c>
      <c r="N33" s="48"/>
      <c r="O33" s="48">
        <f t="shared" si="4"/>
        <v>105.1</v>
      </c>
      <c r="P33" s="75"/>
      <c r="Q33" s="75"/>
      <c r="R33" s="75">
        <f t="shared" si="5"/>
        <v>105.1</v>
      </c>
    </row>
    <row r="34" spans="1:18" ht="12.75">
      <c r="A34" s="8" t="s">
        <v>218</v>
      </c>
      <c r="B34" s="8"/>
      <c r="C34" s="48"/>
      <c r="D34" s="48"/>
      <c r="E34" s="48"/>
      <c r="F34" s="48">
        <f t="shared" si="1"/>
        <v>0</v>
      </c>
      <c r="G34" s="48">
        <v>9.3</v>
      </c>
      <c r="H34" s="48"/>
      <c r="I34" s="48">
        <f t="shared" si="2"/>
        <v>9.3</v>
      </c>
      <c r="J34" s="48"/>
      <c r="K34" s="48"/>
      <c r="L34" s="48">
        <f t="shared" si="3"/>
        <v>9.3</v>
      </c>
      <c r="M34" s="48"/>
      <c r="N34" s="48"/>
      <c r="O34" s="48">
        <f t="shared" si="4"/>
        <v>9.3</v>
      </c>
      <c r="P34" s="75"/>
      <c r="Q34" s="75"/>
      <c r="R34" s="75">
        <f t="shared" si="5"/>
        <v>9.3</v>
      </c>
    </row>
    <row r="35" spans="1:18" ht="12.75">
      <c r="A35" s="7" t="s">
        <v>31</v>
      </c>
      <c r="B35" s="7"/>
      <c r="C35" s="48">
        <f aca="true" t="shared" si="6" ref="C35:R35">SUM(C36:C40)</f>
        <v>125051.5</v>
      </c>
      <c r="D35" s="48">
        <f t="shared" si="6"/>
        <v>0</v>
      </c>
      <c r="E35" s="48">
        <f t="shared" si="6"/>
        <v>0</v>
      </c>
      <c r="F35" s="48">
        <f t="shared" si="6"/>
        <v>125051.5</v>
      </c>
      <c r="G35" s="48">
        <f t="shared" si="6"/>
        <v>0</v>
      </c>
      <c r="H35" s="48">
        <f t="shared" si="6"/>
        <v>-2490.1</v>
      </c>
      <c r="I35" s="48">
        <f t="shared" si="6"/>
        <v>122561.4</v>
      </c>
      <c r="J35" s="48">
        <f t="shared" si="6"/>
        <v>-3312</v>
      </c>
      <c r="K35" s="48">
        <f t="shared" si="6"/>
        <v>291.5</v>
      </c>
      <c r="L35" s="48">
        <f t="shared" si="6"/>
        <v>119540.9</v>
      </c>
      <c r="M35" s="48">
        <f t="shared" si="6"/>
        <v>0</v>
      </c>
      <c r="N35" s="48">
        <f t="shared" si="6"/>
        <v>-178</v>
      </c>
      <c r="O35" s="48">
        <f t="shared" si="6"/>
        <v>119362.9</v>
      </c>
      <c r="P35" s="48">
        <f t="shared" si="6"/>
        <v>343.7</v>
      </c>
      <c r="Q35" s="48">
        <f t="shared" si="6"/>
        <v>0</v>
      </c>
      <c r="R35" s="48">
        <f t="shared" si="6"/>
        <v>119706.6</v>
      </c>
    </row>
    <row r="36" spans="1:18" ht="12.75">
      <c r="A36" s="7" t="s">
        <v>32</v>
      </c>
      <c r="B36" s="7"/>
      <c r="C36" s="48">
        <v>41733</v>
      </c>
      <c r="D36" s="48"/>
      <c r="E36" s="48"/>
      <c r="F36" s="48">
        <f>C36+D36+E36</f>
        <v>41733</v>
      </c>
      <c r="G36" s="48"/>
      <c r="H36" s="48">
        <v>-2490.1</v>
      </c>
      <c r="I36" s="48">
        <f>F36+G36+H36</f>
        <v>39242.9</v>
      </c>
      <c r="J36" s="48"/>
      <c r="K36" s="48">
        <v>291.5</v>
      </c>
      <c r="L36" s="48">
        <f>I36+J36+K36</f>
        <v>39534.4</v>
      </c>
      <c r="M36" s="48"/>
      <c r="N36" s="48">
        <v>-178</v>
      </c>
      <c r="O36" s="48">
        <f>L36+M36+N36</f>
        <v>39356.4</v>
      </c>
      <c r="P36" s="75">
        <f>95.5+248.2</f>
        <v>343.7</v>
      </c>
      <c r="Q36" s="75"/>
      <c r="R36" s="75">
        <f>O36+P36+Q36</f>
        <v>39700.1</v>
      </c>
    </row>
    <row r="37" spans="1:18" ht="12.75">
      <c r="A37" s="8" t="s">
        <v>219</v>
      </c>
      <c r="B37" s="8"/>
      <c r="C37" s="48">
        <v>10810</v>
      </c>
      <c r="D37" s="48"/>
      <c r="E37" s="48"/>
      <c r="F37" s="48">
        <f>C37+D37+E37</f>
        <v>10810</v>
      </c>
      <c r="G37" s="48"/>
      <c r="H37" s="48"/>
      <c r="I37" s="48">
        <f>F37+G37+H37</f>
        <v>10810</v>
      </c>
      <c r="J37" s="48"/>
      <c r="K37" s="48"/>
      <c r="L37" s="48">
        <f>I37+J37+K37</f>
        <v>10810</v>
      </c>
      <c r="M37" s="48"/>
      <c r="N37" s="48"/>
      <c r="O37" s="48">
        <f>L37+M37+N37</f>
        <v>10810</v>
      </c>
      <c r="P37" s="75"/>
      <c r="Q37" s="75"/>
      <c r="R37" s="75">
        <f>O37+P37+Q37</f>
        <v>10810</v>
      </c>
    </row>
    <row r="38" spans="1:18" ht="12.75">
      <c r="A38" s="7" t="s">
        <v>33</v>
      </c>
      <c r="B38" s="7"/>
      <c r="C38" s="48">
        <v>21684</v>
      </c>
      <c r="D38" s="48"/>
      <c r="E38" s="48"/>
      <c r="F38" s="48">
        <f>C38+D38+E38</f>
        <v>21684</v>
      </c>
      <c r="G38" s="48"/>
      <c r="H38" s="48"/>
      <c r="I38" s="48">
        <f>F38+G38+H38</f>
        <v>21684</v>
      </c>
      <c r="J38" s="48">
        <v>-532</v>
      </c>
      <c r="K38" s="48"/>
      <c r="L38" s="48">
        <f>I38+J38+K38</f>
        <v>21152</v>
      </c>
      <c r="M38" s="48"/>
      <c r="N38" s="48"/>
      <c r="O38" s="48">
        <f>L38+M38+N38</f>
        <v>21152</v>
      </c>
      <c r="P38" s="75"/>
      <c r="Q38" s="75"/>
      <c r="R38" s="75">
        <f>O38+P38+Q38</f>
        <v>21152</v>
      </c>
    </row>
    <row r="39" spans="1:18" ht="12.75">
      <c r="A39" s="8" t="s">
        <v>220</v>
      </c>
      <c r="B39" s="8"/>
      <c r="C39" s="48">
        <v>13408.5</v>
      </c>
      <c r="D39" s="48"/>
      <c r="E39" s="48"/>
      <c r="F39" s="48">
        <f>C39+D39+E39</f>
        <v>13408.5</v>
      </c>
      <c r="G39" s="48"/>
      <c r="H39" s="48"/>
      <c r="I39" s="48">
        <f>F39+G39+H39</f>
        <v>13408.5</v>
      </c>
      <c r="J39" s="48"/>
      <c r="K39" s="48"/>
      <c r="L39" s="48">
        <f>I39+J39+K39</f>
        <v>13408.5</v>
      </c>
      <c r="M39" s="48"/>
      <c r="N39" s="48"/>
      <c r="O39" s="48">
        <f>L39+M39+N39</f>
        <v>13408.5</v>
      </c>
      <c r="P39" s="75"/>
      <c r="Q39" s="75"/>
      <c r="R39" s="75">
        <f>O39+P39+Q39</f>
        <v>13408.5</v>
      </c>
    </row>
    <row r="40" spans="1:18" ht="12.75">
      <c r="A40" s="8" t="s">
        <v>221</v>
      </c>
      <c r="B40" s="8"/>
      <c r="C40" s="48">
        <v>37416</v>
      </c>
      <c r="D40" s="48"/>
      <c r="E40" s="48"/>
      <c r="F40" s="48">
        <f>C40+D40+E40</f>
        <v>37416</v>
      </c>
      <c r="G40" s="48"/>
      <c r="H40" s="48"/>
      <c r="I40" s="48">
        <f>F40+G40+H40</f>
        <v>37416</v>
      </c>
      <c r="J40" s="48">
        <v>-2780</v>
      </c>
      <c r="K40" s="48"/>
      <c r="L40" s="48">
        <f>I40+J40+K40</f>
        <v>34636</v>
      </c>
      <c r="M40" s="48"/>
      <c r="N40" s="48"/>
      <c r="O40" s="48">
        <f>L40+M40+N40</f>
        <v>34636</v>
      </c>
      <c r="P40" s="75"/>
      <c r="Q40" s="75"/>
      <c r="R40" s="75">
        <f>O40+P40+Q40</f>
        <v>34636</v>
      </c>
    </row>
    <row r="41" spans="1:18" ht="12.75">
      <c r="A41" s="9" t="s">
        <v>34</v>
      </c>
      <c r="B41" s="9"/>
      <c r="C41" s="49">
        <f aca="true" t="shared" si="7" ref="C41:R41">SUM(C43:C47)</f>
        <v>18706.6</v>
      </c>
      <c r="D41" s="49">
        <f t="shared" si="7"/>
        <v>0</v>
      </c>
      <c r="E41" s="49">
        <f t="shared" si="7"/>
        <v>0</v>
      </c>
      <c r="F41" s="49">
        <f t="shared" si="7"/>
        <v>18706.6</v>
      </c>
      <c r="G41" s="49">
        <f t="shared" si="7"/>
        <v>0</v>
      </c>
      <c r="H41" s="49">
        <f t="shared" si="7"/>
        <v>0</v>
      </c>
      <c r="I41" s="49">
        <f t="shared" si="7"/>
        <v>18706.6</v>
      </c>
      <c r="J41" s="49">
        <f t="shared" si="7"/>
        <v>19946.2</v>
      </c>
      <c r="K41" s="49">
        <f t="shared" si="7"/>
        <v>2700</v>
      </c>
      <c r="L41" s="49">
        <f t="shared" si="7"/>
        <v>41352.8</v>
      </c>
      <c r="M41" s="49">
        <f t="shared" si="7"/>
        <v>0</v>
      </c>
      <c r="N41" s="49">
        <f t="shared" si="7"/>
        <v>0</v>
      </c>
      <c r="O41" s="49">
        <f t="shared" si="7"/>
        <v>41352.8</v>
      </c>
      <c r="P41" s="49">
        <f t="shared" si="7"/>
        <v>0</v>
      </c>
      <c r="Q41" s="49">
        <f t="shared" si="7"/>
        <v>0</v>
      </c>
      <c r="R41" s="49">
        <f t="shared" si="7"/>
        <v>41352.8</v>
      </c>
    </row>
    <row r="42" spans="1:18" ht="13.5" customHeight="1">
      <c r="A42" s="6" t="s">
        <v>23</v>
      </c>
      <c r="B42" s="6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75"/>
      <c r="Q42" s="75"/>
      <c r="R42" s="75"/>
    </row>
    <row r="43" spans="1:18" ht="12.75">
      <c r="A43" s="7" t="s">
        <v>35</v>
      </c>
      <c r="B43" s="7"/>
      <c r="C43" s="48"/>
      <c r="D43" s="48"/>
      <c r="E43" s="48"/>
      <c r="F43" s="48">
        <f>C43+D43+E43</f>
        <v>0</v>
      </c>
      <c r="G43" s="48"/>
      <c r="H43" s="48"/>
      <c r="I43" s="48">
        <f>F43+G43+H43</f>
        <v>0</v>
      </c>
      <c r="J43" s="48"/>
      <c r="K43" s="48">
        <v>2700</v>
      </c>
      <c r="L43" s="48">
        <f>I43+J43+K43</f>
        <v>2700</v>
      </c>
      <c r="M43" s="48"/>
      <c r="N43" s="48"/>
      <c r="O43" s="48">
        <f>L43+M43+N43</f>
        <v>2700</v>
      </c>
      <c r="P43" s="75"/>
      <c r="Q43" s="75"/>
      <c r="R43" s="75">
        <f>O43+P43+Q43</f>
        <v>2700</v>
      </c>
    </row>
    <row r="44" spans="1:18" ht="12.75">
      <c r="A44" s="8" t="s">
        <v>222</v>
      </c>
      <c r="B44" s="8"/>
      <c r="C44" s="48">
        <v>18706.6</v>
      </c>
      <c r="D44" s="48"/>
      <c r="E44" s="48"/>
      <c r="F44" s="48">
        <f>C44+D44+E44</f>
        <v>18706.6</v>
      </c>
      <c r="G44" s="48"/>
      <c r="H44" s="48"/>
      <c r="I44" s="48">
        <f>F44+G44+H44</f>
        <v>18706.6</v>
      </c>
      <c r="J44" s="55">
        <v>16432.2</v>
      </c>
      <c r="K44" s="48"/>
      <c r="L44" s="48">
        <f>I44+J44+K44</f>
        <v>35138.8</v>
      </c>
      <c r="M44" s="55"/>
      <c r="N44" s="48"/>
      <c r="O44" s="48">
        <f>L44+M44+N44</f>
        <v>35138.8</v>
      </c>
      <c r="P44" s="75"/>
      <c r="Q44" s="75"/>
      <c r="R44" s="75">
        <f>O44+P44+Q44</f>
        <v>35138.8</v>
      </c>
    </row>
    <row r="45" spans="1:18" ht="12.75" hidden="1">
      <c r="A45" s="8" t="s">
        <v>223</v>
      </c>
      <c r="B45" s="8"/>
      <c r="C45" s="48"/>
      <c r="D45" s="48"/>
      <c r="E45" s="48"/>
      <c r="F45" s="48">
        <f>C45+D45+E45</f>
        <v>0</v>
      </c>
      <c r="G45" s="48"/>
      <c r="H45" s="48"/>
      <c r="I45" s="48">
        <f>F45+G45+H45</f>
        <v>0</v>
      </c>
      <c r="J45" s="55"/>
      <c r="K45" s="48"/>
      <c r="L45" s="48">
        <f>I45+J45+K45</f>
        <v>0</v>
      </c>
      <c r="M45" s="55"/>
      <c r="N45" s="48"/>
      <c r="O45" s="48">
        <f>L45+M45+N45</f>
        <v>0</v>
      </c>
      <c r="P45" s="75"/>
      <c r="Q45" s="75"/>
      <c r="R45" s="75">
        <f>O45+P45+Q45</f>
        <v>0</v>
      </c>
    </row>
    <row r="46" spans="1:18" ht="12.75">
      <c r="A46" s="8" t="s">
        <v>56</v>
      </c>
      <c r="B46" s="8"/>
      <c r="C46" s="48"/>
      <c r="D46" s="48"/>
      <c r="E46" s="48"/>
      <c r="F46" s="48"/>
      <c r="G46" s="48"/>
      <c r="H46" s="48"/>
      <c r="I46" s="48">
        <f>F46+G46+H46</f>
        <v>0</v>
      </c>
      <c r="J46" s="55">
        <v>3514</v>
      </c>
      <c r="K46" s="48"/>
      <c r="L46" s="48">
        <f>I46+J46+K46</f>
        <v>3514</v>
      </c>
      <c r="M46" s="55"/>
      <c r="N46" s="48"/>
      <c r="O46" s="48">
        <f>L46+M46+N46</f>
        <v>3514</v>
      </c>
      <c r="P46" s="75"/>
      <c r="Q46" s="75"/>
      <c r="R46" s="75">
        <f>O46+P46+Q46</f>
        <v>3514</v>
      </c>
    </row>
    <row r="47" spans="1:18" ht="12.75" hidden="1">
      <c r="A47" s="7" t="s">
        <v>36</v>
      </c>
      <c r="B47" s="7"/>
      <c r="C47" s="48"/>
      <c r="D47" s="48"/>
      <c r="E47" s="48"/>
      <c r="F47" s="48">
        <f>C47+D47+E47</f>
        <v>0</v>
      </c>
      <c r="G47" s="48"/>
      <c r="H47" s="48"/>
      <c r="I47" s="48">
        <f>F47+G47+H47</f>
        <v>0</v>
      </c>
      <c r="J47" s="48"/>
      <c r="K47" s="48"/>
      <c r="L47" s="48">
        <f>I47+J47+K47</f>
        <v>0</v>
      </c>
      <c r="M47" s="48"/>
      <c r="N47" s="48"/>
      <c r="O47" s="48">
        <f>L47+M47+N47</f>
        <v>0</v>
      </c>
      <c r="P47" s="75"/>
      <c r="Q47" s="75"/>
      <c r="R47" s="75">
        <f>O47+P47+Q47</f>
        <v>0</v>
      </c>
    </row>
    <row r="48" spans="1:18" ht="12.75">
      <c r="A48" s="5" t="s">
        <v>37</v>
      </c>
      <c r="B48" s="5"/>
      <c r="C48" s="47">
        <f>SUM(C50:C70)</f>
        <v>72553</v>
      </c>
      <c r="D48" s="47">
        <f aca="true" t="shared" si="8" ref="D48:R48">SUM(D50:D70)</f>
        <v>0</v>
      </c>
      <c r="E48" s="47">
        <f t="shared" si="8"/>
        <v>0</v>
      </c>
      <c r="F48" s="47">
        <f t="shared" si="8"/>
        <v>72553</v>
      </c>
      <c r="G48" s="47">
        <f t="shared" si="8"/>
        <v>4408179.4</v>
      </c>
      <c r="H48" s="47">
        <f t="shared" si="8"/>
        <v>0</v>
      </c>
      <c r="I48" s="47">
        <f t="shared" si="8"/>
        <v>4480732.4</v>
      </c>
      <c r="J48" s="47">
        <f t="shared" si="8"/>
        <v>436740.70000000007</v>
      </c>
      <c r="K48" s="47">
        <f t="shared" si="8"/>
        <v>163.3</v>
      </c>
      <c r="L48" s="47">
        <f t="shared" si="8"/>
        <v>4917636.4</v>
      </c>
      <c r="M48" s="47">
        <f t="shared" si="8"/>
        <v>201677.10000000003</v>
      </c>
      <c r="N48" s="47">
        <f t="shared" si="8"/>
        <v>971.1</v>
      </c>
      <c r="O48" s="47">
        <f t="shared" si="8"/>
        <v>5120284.599999999</v>
      </c>
      <c r="P48" s="47">
        <f t="shared" si="8"/>
        <v>126696.7</v>
      </c>
      <c r="Q48" s="47">
        <f t="shared" si="8"/>
        <v>0</v>
      </c>
      <c r="R48" s="47">
        <f t="shared" si="8"/>
        <v>5246981.3</v>
      </c>
    </row>
    <row r="49" spans="1:18" ht="10.5" customHeight="1">
      <c r="A49" s="10" t="s">
        <v>38</v>
      </c>
      <c r="B49" s="1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75"/>
      <c r="Q49" s="75"/>
      <c r="R49" s="75"/>
    </row>
    <row r="50" spans="1:18" ht="12.75">
      <c r="A50" s="8" t="s">
        <v>39</v>
      </c>
      <c r="B50" s="8"/>
      <c r="C50" s="48">
        <v>72303</v>
      </c>
      <c r="D50" s="48"/>
      <c r="E50" s="48"/>
      <c r="F50" s="48">
        <f>C50+D50+E50</f>
        <v>72303</v>
      </c>
      <c r="G50" s="48"/>
      <c r="H50" s="48"/>
      <c r="I50" s="48">
        <f>F50+G50+H50</f>
        <v>72303</v>
      </c>
      <c r="J50" s="48"/>
      <c r="K50" s="48"/>
      <c r="L50" s="48">
        <f>I50+J50+K50</f>
        <v>72303</v>
      </c>
      <c r="M50" s="48"/>
      <c r="N50" s="48"/>
      <c r="O50" s="48">
        <f>L50+M50+N50</f>
        <v>72303</v>
      </c>
      <c r="P50" s="75"/>
      <c r="Q50" s="75"/>
      <c r="R50" s="75">
        <f>O50+P50+Q50</f>
        <v>72303</v>
      </c>
    </row>
    <row r="51" spans="1:18" ht="12.75">
      <c r="A51" s="8" t="s">
        <v>40</v>
      </c>
      <c r="B51" s="8"/>
      <c r="C51" s="48"/>
      <c r="D51" s="48"/>
      <c r="E51" s="48"/>
      <c r="F51" s="48">
        <f aca="true" t="shared" si="9" ref="F51:F70">C51+D51+E51</f>
        <v>0</v>
      </c>
      <c r="G51" s="48">
        <f>100+20.1+139.7</f>
        <v>259.79999999999995</v>
      </c>
      <c r="H51" s="48"/>
      <c r="I51" s="48">
        <f aca="true" t="shared" si="10" ref="I51:I70">F51+G51+H51</f>
        <v>259.79999999999995</v>
      </c>
      <c r="J51" s="48">
        <f>180.3+15+353.6+92.9+61.5+764.7</f>
        <v>1468</v>
      </c>
      <c r="K51" s="48"/>
      <c r="L51" s="48">
        <f aca="true" t="shared" si="11" ref="L51:L70">I51+J51+K51</f>
        <v>1727.8</v>
      </c>
      <c r="M51" s="48">
        <f>239.2+30000+15+77.9+56.7</f>
        <v>30388.800000000003</v>
      </c>
      <c r="N51" s="48"/>
      <c r="O51" s="48">
        <f aca="true" t="shared" si="12" ref="O51:O70">L51+M51+N51</f>
        <v>32116.600000000002</v>
      </c>
      <c r="P51" s="75">
        <f>145.4-52.9+20.7+100+111.8</f>
        <v>325</v>
      </c>
      <c r="Q51" s="75"/>
      <c r="R51" s="75">
        <f aca="true" t="shared" si="13" ref="R51:R70">O51+P51+Q51</f>
        <v>32441.600000000002</v>
      </c>
    </row>
    <row r="52" spans="1:18" ht="12.75">
      <c r="A52" s="8" t="s">
        <v>41</v>
      </c>
      <c r="B52" s="8"/>
      <c r="C52" s="48"/>
      <c r="D52" s="48"/>
      <c r="E52" s="48"/>
      <c r="F52" s="48">
        <f t="shared" si="9"/>
        <v>0</v>
      </c>
      <c r="G52" s="48">
        <f>48790+2320.8+1373+144+11750.2+8044.1+233.7+5119.4+838.7+3968.6+1445.4+1853.5+4299489+1292+11943.3</f>
        <v>4398605.7</v>
      </c>
      <c r="H52" s="48"/>
      <c r="I52" s="48">
        <f t="shared" si="10"/>
        <v>4398605.7</v>
      </c>
      <c r="J52" s="48">
        <f>1316.3+5993.1+7.9+3172.3+746.6+354+385.1+48160+4206.7+330+26.7+9608.9+296.7+3582.6+22274.8</f>
        <v>100461.7</v>
      </c>
      <c r="K52" s="48">
        <v>163.3</v>
      </c>
      <c r="L52" s="48">
        <f t="shared" si="11"/>
        <v>4499230.7</v>
      </c>
      <c r="M52" s="48">
        <f>1186.3+549.3+863.6+916.8+2983.6+2638.3+389.3+2529.8+1787.3+48470+562.5+150.4+4365.9+7585+100+1082.2-70.2+1752.1+2290.3+1239.5+121.4+1668.5+1121.5+3025.8+2237.2+2675.8-309.5+80.1</f>
        <v>91992.80000000002</v>
      </c>
      <c r="N52" s="48">
        <v>971.1</v>
      </c>
      <c r="O52" s="48">
        <f t="shared" si="12"/>
        <v>4592194.6</v>
      </c>
      <c r="P52" s="75">
        <f>1980.5+1064.8+89.6+5733.7+1330.8+5112.9+7098+7537+5244.5+502+2027.2+717.7+301.7+5470+44930+4610.2+3123.5+1464.7+4677.1+200+736.3+940+266.4+45.5</f>
        <v>105204.09999999999</v>
      </c>
      <c r="Q52" s="75"/>
      <c r="R52" s="75">
        <f t="shared" si="13"/>
        <v>4697398.699999999</v>
      </c>
    </row>
    <row r="53" spans="1:18" ht="12.75">
      <c r="A53" s="8" t="s">
        <v>42</v>
      </c>
      <c r="B53" s="8"/>
      <c r="C53" s="48"/>
      <c r="D53" s="48"/>
      <c r="E53" s="48"/>
      <c r="F53" s="48">
        <f t="shared" si="9"/>
        <v>0</v>
      </c>
      <c r="G53" s="48">
        <f>3662.5+648.4</f>
        <v>4310.9</v>
      </c>
      <c r="H53" s="48"/>
      <c r="I53" s="48">
        <f t="shared" si="10"/>
        <v>4310.9</v>
      </c>
      <c r="J53" s="48">
        <f>1434.8+389+4120.9+11187.6+1264.7+33000+332.4+1452.5+12000</f>
        <v>65181.9</v>
      </c>
      <c r="K53" s="48"/>
      <c r="L53" s="48">
        <f t="shared" si="11"/>
        <v>69492.8</v>
      </c>
      <c r="M53" s="48">
        <f>3500+12+373.2</f>
        <v>3885.2</v>
      </c>
      <c r="N53" s="48"/>
      <c r="O53" s="48">
        <f t="shared" si="12"/>
        <v>73378</v>
      </c>
      <c r="P53" s="75">
        <f>2761</f>
        <v>2761</v>
      </c>
      <c r="Q53" s="75"/>
      <c r="R53" s="75">
        <f t="shared" si="13"/>
        <v>76139</v>
      </c>
    </row>
    <row r="54" spans="1:18" ht="12.75">
      <c r="A54" s="8" t="s">
        <v>43</v>
      </c>
      <c r="B54" s="8"/>
      <c r="C54" s="48"/>
      <c r="D54" s="48"/>
      <c r="E54" s="48"/>
      <c r="F54" s="48">
        <f t="shared" si="9"/>
        <v>0</v>
      </c>
      <c r="G54" s="48"/>
      <c r="H54" s="48"/>
      <c r="I54" s="48">
        <f t="shared" si="10"/>
        <v>0</v>
      </c>
      <c r="J54" s="48">
        <f>9.2+514.4</f>
        <v>523.6</v>
      </c>
      <c r="K54" s="48"/>
      <c r="L54" s="48">
        <f t="shared" si="11"/>
        <v>523.6</v>
      </c>
      <c r="M54" s="48">
        <f>6.3+6.1+187.6+57.5</f>
        <v>257.5</v>
      </c>
      <c r="N54" s="48"/>
      <c r="O54" s="48">
        <f t="shared" si="12"/>
        <v>781.1</v>
      </c>
      <c r="P54" s="75">
        <v>8.6</v>
      </c>
      <c r="Q54" s="75"/>
      <c r="R54" s="75">
        <f t="shared" si="13"/>
        <v>789.7</v>
      </c>
    </row>
    <row r="55" spans="1:18" ht="12.75">
      <c r="A55" s="8" t="s">
        <v>44</v>
      </c>
      <c r="B55" s="8"/>
      <c r="C55" s="48"/>
      <c r="D55" s="48"/>
      <c r="E55" s="48"/>
      <c r="F55" s="48">
        <f t="shared" si="9"/>
        <v>0</v>
      </c>
      <c r="G55" s="48"/>
      <c r="H55" s="48"/>
      <c r="I55" s="48">
        <f t="shared" si="10"/>
        <v>0</v>
      </c>
      <c r="J55" s="48"/>
      <c r="K55" s="48"/>
      <c r="L55" s="48">
        <f t="shared" si="11"/>
        <v>0</v>
      </c>
      <c r="M55" s="48">
        <f>325+348</f>
        <v>673</v>
      </c>
      <c r="N55" s="48"/>
      <c r="O55" s="48">
        <f t="shared" si="12"/>
        <v>673</v>
      </c>
      <c r="P55" s="75">
        <f>22+51+80</f>
        <v>153</v>
      </c>
      <c r="Q55" s="75"/>
      <c r="R55" s="75">
        <f t="shared" si="13"/>
        <v>826</v>
      </c>
    </row>
    <row r="56" spans="1:18" ht="12.75">
      <c r="A56" s="8" t="s">
        <v>45</v>
      </c>
      <c r="B56" s="8"/>
      <c r="C56" s="48"/>
      <c r="D56" s="48"/>
      <c r="E56" s="48"/>
      <c r="F56" s="48">
        <f t="shared" si="9"/>
        <v>0</v>
      </c>
      <c r="G56" s="48"/>
      <c r="H56" s="48"/>
      <c r="I56" s="48">
        <f t="shared" si="10"/>
        <v>0</v>
      </c>
      <c r="J56" s="48">
        <f>30+5529.5</f>
        <v>5559.5</v>
      </c>
      <c r="K56" s="48"/>
      <c r="L56" s="48">
        <f t="shared" si="11"/>
        <v>5559.5</v>
      </c>
      <c r="M56" s="48">
        <f>100</f>
        <v>100</v>
      </c>
      <c r="N56" s="48"/>
      <c r="O56" s="48">
        <f t="shared" si="12"/>
        <v>5659.5</v>
      </c>
      <c r="P56" s="75"/>
      <c r="Q56" s="75"/>
      <c r="R56" s="75">
        <f t="shared" si="13"/>
        <v>5659.5</v>
      </c>
    </row>
    <row r="57" spans="1:18" ht="12.75">
      <c r="A57" s="8" t="s">
        <v>46</v>
      </c>
      <c r="B57" s="8"/>
      <c r="C57" s="48"/>
      <c r="D57" s="48"/>
      <c r="E57" s="48"/>
      <c r="F57" s="48">
        <f t="shared" si="9"/>
        <v>0</v>
      </c>
      <c r="G57" s="48">
        <v>5003</v>
      </c>
      <c r="H57" s="48"/>
      <c r="I57" s="48">
        <f t="shared" si="10"/>
        <v>5003</v>
      </c>
      <c r="J57" s="48">
        <f>448+131+52.7</f>
        <v>631.7</v>
      </c>
      <c r="K57" s="48"/>
      <c r="L57" s="48">
        <f t="shared" si="11"/>
        <v>5634.7</v>
      </c>
      <c r="M57" s="48">
        <f>2323.9+517</f>
        <v>2840.9</v>
      </c>
      <c r="N57" s="48"/>
      <c r="O57" s="48">
        <f t="shared" si="12"/>
        <v>8475.6</v>
      </c>
      <c r="P57" s="75">
        <f>5337.3+448+10731</f>
        <v>16516.3</v>
      </c>
      <c r="Q57" s="75"/>
      <c r="R57" s="75">
        <f t="shared" si="13"/>
        <v>24991.9</v>
      </c>
    </row>
    <row r="58" spans="1:18" ht="12.75">
      <c r="A58" s="8" t="s">
        <v>190</v>
      </c>
      <c r="B58" s="8"/>
      <c r="C58" s="48"/>
      <c r="D58" s="48"/>
      <c r="E58" s="48"/>
      <c r="F58" s="48">
        <f t="shared" si="9"/>
        <v>0</v>
      </c>
      <c r="G58" s="48"/>
      <c r="H58" s="48"/>
      <c r="I58" s="48">
        <f t="shared" si="10"/>
        <v>0</v>
      </c>
      <c r="J58" s="48">
        <v>254603</v>
      </c>
      <c r="K58" s="48"/>
      <c r="L58" s="48">
        <f t="shared" si="11"/>
        <v>254603</v>
      </c>
      <c r="M58" s="48"/>
      <c r="N58" s="48"/>
      <c r="O58" s="48">
        <f t="shared" si="12"/>
        <v>254603</v>
      </c>
      <c r="P58" s="75"/>
      <c r="Q58" s="75"/>
      <c r="R58" s="75">
        <f t="shared" si="13"/>
        <v>254603</v>
      </c>
    </row>
    <row r="59" spans="1:18" ht="12.75" hidden="1">
      <c r="A59" s="8" t="s">
        <v>227</v>
      </c>
      <c r="B59" s="8"/>
      <c r="C59" s="48"/>
      <c r="D59" s="48"/>
      <c r="E59" s="48"/>
      <c r="F59" s="48">
        <f t="shared" si="9"/>
        <v>0</v>
      </c>
      <c r="G59" s="48"/>
      <c r="H59" s="48"/>
      <c r="I59" s="48">
        <f t="shared" si="10"/>
        <v>0</v>
      </c>
      <c r="J59" s="48"/>
      <c r="K59" s="48"/>
      <c r="L59" s="48">
        <f t="shared" si="11"/>
        <v>0</v>
      </c>
      <c r="M59" s="48"/>
      <c r="N59" s="48"/>
      <c r="O59" s="48">
        <f t="shared" si="12"/>
        <v>0</v>
      </c>
      <c r="P59" s="75"/>
      <c r="Q59" s="75"/>
      <c r="R59" s="75">
        <f t="shared" si="13"/>
        <v>0</v>
      </c>
    </row>
    <row r="60" spans="1:18" ht="12.75">
      <c r="A60" s="8" t="s">
        <v>332</v>
      </c>
      <c r="B60" s="8"/>
      <c r="C60" s="48"/>
      <c r="D60" s="48"/>
      <c r="E60" s="48"/>
      <c r="F60" s="48"/>
      <c r="G60" s="48"/>
      <c r="H60" s="48"/>
      <c r="I60" s="48">
        <f t="shared" si="10"/>
        <v>0</v>
      </c>
      <c r="J60" s="48">
        <v>500</v>
      </c>
      <c r="K60" s="48"/>
      <c r="L60" s="48">
        <f t="shared" si="11"/>
        <v>500</v>
      </c>
      <c r="M60" s="48"/>
      <c r="N60" s="48"/>
      <c r="O60" s="48">
        <f t="shared" si="12"/>
        <v>500</v>
      </c>
      <c r="P60" s="75"/>
      <c r="Q60" s="75"/>
      <c r="R60" s="75">
        <f t="shared" si="13"/>
        <v>500</v>
      </c>
    </row>
    <row r="61" spans="1:18" ht="12.75">
      <c r="A61" s="8" t="s">
        <v>47</v>
      </c>
      <c r="B61" s="8"/>
      <c r="C61" s="48"/>
      <c r="D61" s="48"/>
      <c r="E61" s="48"/>
      <c r="F61" s="48">
        <f t="shared" si="9"/>
        <v>0</v>
      </c>
      <c r="G61" s="48"/>
      <c r="H61" s="48"/>
      <c r="I61" s="48">
        <f t="shared" si="10"/>
        <v>0</v>
      </c>
      <c r="J61" s="48">
        <f>154.5</f>
        <v>154.5</v>
      </c>
      <c r="K61" s="48"/>
      <c r="L61" s="48">
        <f t="shared" si="11"/>
        <v>154.5</v>
      </c>
      <c r="M61" s="48">
        <f>739.3+305.9</f>
        <v>1045.1999999999998</v>
      </c>
      <c r="N61" s="48"/>
      <c r="O61" s="48">
        <f t="shared" si="12"/>
        <v>1199.6999999999998</v>
      </c>
      <c r="P61" s="84">
        <v>143.7</v>
      </c>
      <c r="Q61" s="84"/>
      <c r="R61" s="75">
        <f t="shared" si="13"/>
        <v>1343.3999999999999</v>
      </c>
    </row>
    <row r="62" spans="1:18" ht="12.75">
      <c r="A62" s="8" t="s">
        <v>48</v>
      </c>
      <c r="B62" s="8"/>
      <c r="C62" s="48"/>
      <c r="D62" s="48"/>
      <c r="E62" s="48"/>
      <c r="F62" s="48">
        <f t="shared" si="9"/>
        <v>0</v>
      </c>
      <c r="G62" s="48"/>
      <c r="H62" s="48"/>
      <c r="I62" s="48">
        <f t="shared" si="10"/>
        <v>0</v>
      </c>
      <c r="J62" s="55">
        <f>92+250</f>
        <v>342</v>
      </c>
      <c r="K62" s="48"/>
      <c r="L62" s="48">
        <f t="shared" si="11"/>
        <v>342</v>
      </c>
      <c r="M62" s="48"/>
      <c r="N62" s="48"/>
      <c r="O62" s="48">
        <f t="shared" si="12"/>
        <v>342</v>
      </c>
      <c r="P62" s="75"/>
      <c r="Q62" s="75"/>
      <c r="R62" s="75">
        <f t="shared" si="13"/>
        <v>342</v>
      </c>
    </row>
    <row r="63" spans="1:18" ht="12.75" hidden="1">
      <c r="A63" s="8" t="s">
        <v>228</v>
      </c>
      <c r="B63" s="8"/>
      <c r="C63" s="48"/>
      <c r="D63" s="48"/>
      <c r="E63" s="48"/>
      <c r="F63" s="48">
        <f t="shared" si="9"/>
        <v>0</v>
      </c>
      <c r="G63" s="48"/>
      <c r="H63" s="48"/>
      <c r="I63" s="48">
        <f t="shared" si="10"/>
        <v>0</v>
      </c>
      <c r="J63" s="55"/>
      <c r="K63" s="48"/>
      <c r="L63" s="48">
        <f t="shared" si="11"/>
        <v>0</v>
      </c>
      <c r="M63" s="48"/>
      <c r="N63" s="48"/>
      <c r="O63" s="48">
        <f t="shared" si="12"/>
        <v>0</v>
      </c>
      <c r="P63" s="75"/>
      <c r="Q63" s="75"/>
      <c r="R63" s="75">
        <f t="shared" si="13"/>
        <v>0</v>
      </c>
    </row>
    <row r="64" spans="1:18" ht="12.75" hidden="1">
      <c r="A64" s="8" t="s">
        <v>49</v>
      </c>
      <c r="B64" s="8"/>
      <c r="C64" s="48"/>
      <c r="D64" s="48"/>
      <c r="E64" s="48"/>
      <c r="F64" s="48">
        <f t="shared" si="9"/>
        <v>0</v>
      </c>
      <c r="G64" s="48"/>
      <c r="H64" s="48"/>
      <c r="I64" s="48">
        <f t="shared" si="10"/>
        <v>0</v>
      </c>
      <c r="J64" s="48"/>
      <c r="K64" s="48"/>
      <c r="L64" s="48">
        <f t="shared" si="11"/>
        <v>0</v>
      </c>
      <c r="M64" s="48"/>
      <c r="N64" s="48"/>
      <c r="O64" s="48">
        <f t="shared" si="12"/>
        <v>0</v>
      </c>
      <c r="P64" s="75"/>
      <c r="Q64" s="75"/>
      <c r="R64" s="75">
        <f t="shared" si="13"/>
        <v>0</v>
      </c>
    </row>
    <row r="65" spans="1:18" ht="12.75">
      <c r="A65" s="8" t="s">
        <v>60</v>
      </c>
      <c r="B65" s="8"/>
      <c r="C65" s="48"/>
      <c r="D65" s="48"/>
      <c r="E65" s="48"/>
      <c r="F65" s="48">
        <f t="shared" si="9"/>
        <v>0</v>
      </c>
      <c r="G65" s="48"/>
      <c r="H65" s="48"/>
      <c r="I65" s="48">
        <f t="shared" si="10"/>
        <v>0</v>
      </c>
      <c r="J65" s="48">
        <f>965.9+2145.2+757.2+1286.6</f>
        <v>5154.9</v>
      </c>
      <c r="K65" s="48"/>
      <c r="L65" s="48">
        <f t="shared" si="11"/>
        <v>5154.9</v>
      </c>
      <c r="M65" s="48">
        <f>117.1+1432.5+1328.5+107+1082+57.1</f>
        <v>4124.2</v>
      </c>
      <c r="N65" s="48"/>
      <c r="O65" s="48">
        <f t="shared" si="12"/>
        <v>9279.099999999999</v>
      </c>
      <c r="P65" s="75">
        <f>88.8+301.6+667.2+63.5+97.8</f>
        <v>1218.9</v>
      </c>
      <c r="Q65" s="75"/>
      <c r="R65" s="75">
        <f t="shared" si="13"/>
        <v>10497.999999999998</v>
      </c>
    </row>
    <row r="66" spans="1:18" ht="12.75">
      <c r="A66" s="8" t="s">
        <v>50</v>
      </c>
      <c r="B66" s="8"/>
      <c r="C66" s="48"/>
      <c r="D66" s="48"/>
      <c r="E66" s="48"/>
      <c r="F66" s="48">
        <f t="shared" si="9"/>
        <v>0</v>
      </c>
      <c r="G66" s="48"/>
      <c r="H66" s="48"/>
      <c r="I66" s="48">
        <f t="shared" si="10"/>
        <v>0</v>
      </c>
      <c r="J66" s="48"/>
      <c r="K66" s="48"/>
      <c r="L66" s="48">
        <f t="shared" si="11"/>
        <v>0</v>
      </c>
      <c r="M66" s="48">
        <f>65793</f>
        <v>65793</v>
      </c>
      <c r="N66" s="48"/>
      <c r="O66" s="48">
        <f t="shared" si="12"/>
        <v>65793</v>
      </c>
      <c r="P66" s="75"/>
      <c r="Q66" s="75"/>
      <c r="R66" s="75">
        <f t="shared" si="13"/>
        <v>65793</v>
      </c>
    </row>
    <row r="67" spans="1:18" ht="12.75">
      <c r="A67" s="8" t="s">
        <v>51</v>
      </c>
      <c r="B67" s="8"/>
      <c r="C67" s="48"/>
      <c r="D67" s="48"/>
      <c r="E67" s="48"/>
      <c r="F67" s="48">
        <f t="shared" si="9"/>
        <v>0</v>
      </c>
      <c r="G67" s="48"/>
      <c r="H67" s="48"/>
      <c r="I67" s="48">
        <f t="shared" si="10"/>
        <v>0</v>
      </c>
      <c r="J67" s="48"/>
      <c r="K67" s="48"/>
      <c r="L67" s="48">
        <f t="shared" si="11"/>
        <v>0</v>
      </c>
      <c r="M67" s="48">
        <f>291.3</f>
        <v>291.3</v>
      </c>
      <c r="N67" s="48"/>
      <c r="O67" s="48">
        <f t="shared" si="12"/>
        <v>291.3</v>
      </c>
      <c r="P67" s="75"/>
      <c r="Q67" s="75"/>
      <c r="R67" s="75">
        <f t="shared" si="13"/>
        <v>291.3</v>
      </c>
    </row>
    <row r="68" spans="1:18" ht="12.75">
      <c r="A68" s="8" t="s">
        <v>52</v>
      </c>
      <c r="B68" s="8"/>
      <c r="C68" s="48">
        <v>250</v>
      </c>
      <c r="D68" s="48"/>
      <c r="E68" s="48"/>
      <c r="F68" s="48">
        <f t="shared" si="9"/>
        <v>250</v>
      </c>
      <c r="G68" s="48"/>
      <c r="H68" s="48"/>
      <c r="I68" s="48">
        <f t="shared" si="10"/>
        <v>250</v>
      </c>
      <c r="J68" s="48">
        <v>2159.9</v>
      </c>
      <c r="K68" s="48"/>
      <c r="L68" s="48">
        <f t="shared" si="11"/>
        <v>2409.9</v>
      </c>
      <c r="M68" s="48">
        <f>120.2+58.8</f>
        <v>179</v>
      </c>
      <c r="N68" s="48"/>
      <c r="O68" s="48">
        <f t="shared" si="12"/>
        <v>2588.9</v>
      </c>
      <c r="P68" s="75">
        <f>24.2+11.9</f>
        <v>36.1</v>
      </c>
      <c r="Q68" s="75"/>
      <c r="R68" s="75">
        <f t="shared" si="13"/>
        <v>2625</v>
      </c>
    </row>
    <row r="69" spans="1:18" ht="12.75">
      <c r="A69" s="8" t="s">
        <v>376</v>
      </c>
      <c r="B69" s="8"/>
      <c r="C69" s="48"/>
      <c r="D69" s="48"/>
      <c r="E69" s="48"/>
      <c r="F69" s="48"/>
      <c r="G69" s="48"/>
      <c r="H69" s="48"/>
      <c r="I69" s="48"/>
      <c r="J69" s="48"/>
      <c r="K69" s="48"/>
      <c r="L69" s="48">
        <f t="shared" si="11"/>
        <v>0</v>
      </c>
      <c r="M69" s="48">
        <v>106.2</v>
      </c>
      <c r="N69" s="48"/>
      <c r="O69" s="48">
        <f t="shared" si="12"/>
        <v>106.2</v>
      </c>
      <c r="P69" s="75"/>
      <c r="Q69" s="75"/>
      <c r="R69" s="75">
        <f t="shared" si="13"/>
        <v>106.2</v>
      </c>
    </row>
    <row r="70" spans="1:18" ht="12.75">
      <c r="A70" s="11" t="s">
        <v>241</v>
      </c>
      <c r="B70" s="11"/>
      <c r="C70" s="52"/>
      <c r="D70" s="52"/>
      <c r="E70" s="52"/>
      <c r="F70" s="52">
        <f t="shared" si="9"/>
        <v>0</v>
      </c>
      <c r="G70" s="52"/>
      <c r="H70" s="52"/>
      <c r="I70" s="52">
        <f t="shared" si="10"/>
        <v>0</v>
      </c>
      <c r="J70" s="52"/>
      <c r="K70" s="52"/>
      <c r="L70" s="52">
        <f t="shared" si="11"/>
        <v>0</v>
      </c>
      <c r="M70" s="52"/>
      <c r="N70" s="52"/>
      <c r="O70" s="52">
        <f t="shared" si="12"/>
        <v>0</v>
      </c>
      <c r="P70" s="85">
        <v>330</v>
      </c>
      <c r="Q70" s="85"/>
      <c r="R70" s="85">
        <f t="shared" si="13"/>
        <v>330</v>
      </c>
    </row>
    <row r="71" spans="1:18" ht="12.75" hidden="1">
      <c r="A71" s="9" t="s">
        <v>53</v>
      </c>
      <c r="B71" s="9"/>
      <c r="C71" s="49">
        <f>SUM(C73:C75)</f>
        <v>0</v>
      </c>
      <c r="D71" s="49">
        <f>SUM(D73:D75)</f>
        <v>0</v>
      </c>
      <c r="E71" s="49"/>
      <c r="F71" s="49">
        <f>SUM(F73:F75)</f>
        <v>0</v>
      </c>
      <c r="G71" s="49">
        <f>SUM(G73:G75)</f>
        <v>0</v>
      </c>
      <c r="H71" s="49">
        <f>SUM(H73:H75)</f>
        <v>0</v>
      </c>
      <c r="I71" s="49">
        <f>SUM(I73:I75)</f>
        <v>0</v>
      </c>
      <c r="J71" s="49"/>
      <c r="K71" s="49"/>
      <c r="L71" s="49">
        <f aca="true" t="shared" si="14" ref="L71:R71">SUM(L73:L75)</f>
        <v>0</v>
      </c>
      <c r="M71" s="49">
        <f t="shared" si="14"/>
        <v>0</v>
      </c>
      <c r="N71" s="49">
        <f t="shared" si="14"/>
        <v>0</v>
      </c>
      <c r="O71" s="49">
        <f t="shared" si="14"/>
        <v>0</v>
      </c>
      <c r="P71" s="49">
        <f t="shared" si="14"/>
        <v>0</v>
      </c>
      <c r="Q71" s="49">
        <f t="shared" si="14"/>
        <v>0</v>
      </c>
      <c r="R71" s="49">
        <f t="shared" si="14"/>
        <v>0</v>
      </c>
    </row>
    <row r="72" spans="1:18" ht="12.75" hidden="1">
      <c r="A72" s="6" t="s">
        <v>38</v>
      </c>
      <c r="B72" s="6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75"/>
      <c r="Q72" s="75"/>
      <c r="R72" s="75"/>
    </row>
    <row r="73" spans="1:18" ht="12.75" hidden="1">
      <c r="A73" s="8" t="s">
        <v>54</v>
      </c>
      <c r="B73" s="8"/>
      <c r="C73" s="48"/>
      <c r="D73" s="48"/>
      <c r="E73" s="48"/>
      <c r="F73" s="48">
        <f>C73+D73+E73</f>
        <v>0</v>
      </c>
      <c r="G73" s="48"/>
      <c r="H73" s="48"/>
      <c r="I73" s="48">
        <f>F73+G73+H73</f>
        <v>0</v>
      </c>
      <c r="J73" s="48"/>
      <c r="K73" s="48"/>
      <c r="L73" s="48">
        <f>I73+J73+K73</f>
        <v>0</v>
      </c>
      <c r="M73" s="48"/>
      <c r="N73" s="48"/>
      <c r="O73" s="48">
        <f>L73+M73+N73</f>
        <v>0</v>
      </c>
      <c r="P73" s="75"/>
      <c r="Q73" s="75"/>
      <c r="R73" s="75">
        <f>O73+P73+Q73</f>
        <v>0</v>
      </c>
    </row>
    <row r="74" spans="1:18" ht="12.75" hidden="1">
      <c r="A74" s="8" t="s">
        <v>55</v>
      </c>
      <c r="B74" s="8"/>
      <c r="C74" s="48"/>
      <c r="D74" s="48"/>
      <c r="E74" s="48"/>
      <c r="F74" s="48">
        <f>C74+D74+E74</f>
        <v>0</v>
      </c>
      <c r="G74" s="48"/>
      <c r="H74" s="48"/>
      <c r="I74" s="48">
        <f>F74+G74+H74</f>
        <v>0</v>
      </c>
      <c r="J74" s="48"/>
      <c r="K74" s="48"/>
      <c r="L74" s="48">
        <f>I74+J74+K74</f>
        <v>0</v>
      </c>
      <c r="M74" s="48"/>
      <c r="N74" s="48"/>
      <c r="O74" s="48">
        <f>L74+M74+N74</f>
        <v>0</v>
      </c>
      <c r="P74" s="75"/>
      <c r="Q74" s="75"/>
      <c r="R74" s="75">
        <f>O74+P74+Q74</f>
        <v>0</v>
      </c>
    </row>
    <row r="75" spans="1:18" ht="12.75" hidden="1">
      <c r="A75" s="8" t="s">
        <v>56</v>
      </c>
      <c r="B75" s="8"/>
      <c r="C75" s="48"/>
      <c r="D75" s="48"/>
      <c r="E75" s="48"/>
      <c r="F75" s="48">
        <f>C75+D75+E75</f>
        <v>0</v>
      </c>
      <c r="G75" s="48"/>
      <c r="H75" s="48"/>
      <c r="I75" s="48">
        <f>F75+G75+H75</f>
        <v>0</v>
      </c>
      <c r="J75" s="48"/>
      <c r="K75" s="48"/>
      <c r="L75" s="48">
        <f>I75+J75+K75</f>
        <v>0</v>
      </c>
      <c r="M75" s="48"/>
      <c r="N75" s="48"/>
      <c r="O75" s="48">
        <f>L75+M75+N75</f>
        <v>0</v>
      </c>
      <c r="P75" s="75"/>
      <c r="Q75" s="75"/>
      <c r="R75" s="75">
        <f>O75+P75+Q75</f>
        <v>0</v>
      </c>
    </row>
    <row r="76" spans="1:18" ht="12.75">
      <c r="A76" s="5" t="s">
        <v>57</v>
      </c>
      <c r="B76" s="5"/>
      <c r="C76" s="47">
        <f>SUM(C78:C91)</f>
        <v>0</v>
      </c>
      <c r="D76" s="47">
        <f aca="true" t="shared" si="15" ref="D76:R76">SUM(D78:D91)</f>
        <v>0</v>
      </c>
      <c r="E76" s="47">
        <f t="shared" si="15"/>
        <v>0</v>
      </c>
      <c r="F76" s="47">
        <f t="shared" si="15"/>
        <v>0</v>
      </c>
      <c r="G76" s="47">
        <f t="shared" si="15"/>
        <v>30308.699999999997</v>
      </c>
      <c r="H76" s="47">
        <f t="shared" si="15"/>
        <v>0</v>
      </c>
      <c r="I76" s="47">
        <f t="shared" si="15"/>
        <v>30308.699999999997</v>
      </c>
      <c r="J76" s="47">
        <f t="shared" si="15"/>
        <v>40284.3</v>
      </c>
      <c r="K76" s="47">
        <f t="shared" si="15"/>
        <v>0</v>
      </c>
      <c r="L76" s="47">
        <f t="shared" si="15"/>
        <v>70593</v>
      </c>
      <c r="M76" s="47">
        <f t="shared" si="15"/>
        <v>84317.6</v>
      </c>
      <c r="N76" s="47">
        <f t="shared" si="15"/>
        <v>0</v>
      </c>
      <c r="O76" s="47">
        <f t="shared" si="15"/>
        <v>154910.6</v>
      </c>
      <c r="P76" s="47">
        <f t="shared" si="15"/>
        <v>65388.4</v>
      </c>
      <c r="Q76" s="47">
        <f t="shared" si="15"/>
        <v>0</v>
      </c>
      <c r="R76" s="47">
        <f t="shared" si="15"/>
        <v>220299</v>
      </c>
    </row>
    <row r="77" spans="1:18" ht="12.75">
      <c r="A77" s="10" t="s">
        <v>38</v>
      </c>
      <c r="B77" s="1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75"/>
      <c r="Q77" s="75"/>
      <c r="R77" s="75"/>
    </row>
    <row r="78" spans="1:18" ht="12.75">
      <c r="A78" s="8" t="s">
        <v>41</v>
      </c>
      <c r="B78" s="8"/>
      <c r="C78" s="48"/>
      <c r="D78" s="48"/>
      <c r="E78" s="48"/>
      <c r="F78" s="48">
        <f>C78+D78+E78</f>
        <v>0</v>
      </c>
      <c r="G78" s="48">
        <v>26.1</v>
      </c>
      <c r="H78" s="48"/>
      <c r="I78" s="48">
        <f>F78+G78+H78</f>
        <v>26.1</v>
      </c>
      <c r="J78" s="48">
        <f>16889.5</f>
        <v>16889.5</v>
      </c>
      <c r="K78" s="48"/>
      <c r="L78" s="48">
        <f>I78+J78+K78</f>
        <v>16915.6</v>
      </c>
      <c r="M78" s="48"/>
      <c r="N78" s="48"/>
      <c r="O78" s="48">
        <f>L78+M78+N78</f>
        <v>16915.6</v>
      </c>
      <c r="P78" s="75">
        <v>5000</v>
      </c>
      <c r="Q78" s="75"/>
      <c r="R78" s="75">
        <f>O78+P78+Q78</f>
        <v>21915.6</v>
      </c>
    </row>
    <row r="79" spans="1:18" ht="12.75">
      <c r="A79" s="12" t="s">
        <v>42</v>
      </c>
      <c r="B79" s="12"/>
      <c r="C79" s="48"/>
      <c r="D79" s="48"/>
      <c r="E79" s="48"/>
      <c r="F79" s="48">
        <f aca="true" t="shared" si="16" ref="F79:F90">C79+D79+E79</f>
        <v>0</v>
      </c>
      <c r="G79" s="48"/>
      <c r="H79" s="48"/>
      <c r="I79" s="48">
        <f aca="true" t="shared" si="17" ref="I79:I90">F79+G79+H79</f>
        <v>0</v>
      </c>
      <c r="J79" s="48">
        <v>48</v>
      </c>
      <c r="K79" s="48"/>
      <c r="L79" s="48">
        <f aca="true" t="shared" si="18" ref="L79:L91">I79+J79+K79</f>
        <v>48</v>
      </c>
      <c r="M79" s="48">
        <v>24</v>
      </c>
      <c r="N79" s="48"/>
      <c r="O79" s="48">
        <f aca="true" t="shared" si="19" ref="O79:O91">L79+M79+N79</f>
        <v>72</v>
      </c>
      <c r="P79" s="75"/>
      <c r="Q79" s="75"/>
      <c r="R79" s="75">
        <f aca="true" t="shared" si="20" ref="R79:R91">O79+P79+Q79</f>
        <v>72</v>
      </c>
    </row>
    <row r="80" spans="1:18" ht="12.75" hidden="1">
      <c r="A80" s="12" t="s">
        <v>40</v>
      </c>
      <c r="B80" s="12"/>
      <c r="C80" s="48"/>
      <c r="D80" s="48"/>
      <c r="E80" s="48"/>
      <c r="F80" s="48">
        <f t="shared" si="16"/>
        <v>0</v>
      </c>
      <c r="G80" s="48"/>
      <c r="H80" s="48"/>
      <c r="I80" s="48">
        <f t="shared" si="17"/>
        <v>0</v>
      </c>
      <c r="J80" s="48"/>
      <c r="K80" s="48"/>
      <c r="L80" s="48">
        <f t="shared" si="18"/>
        <v>0</v>
      </c>
      <c r="M80" s="48"/>
      <c r="N80" s="48"/>
      <c r="O80" s="48">
        <f t="shared" si="19"/>
        <v>0</v>
      </c>
      <c r="P80" s="75"/>
      <c r="Q80" s="75"/>
      <c r="R80" s="75">
        <f t="shared" si="20"/>
        <v>0</v>
      </c>
    </row>
    <row r="81" spans="1:18" ht="12.75">
      <c r="A81" s="12" t="s">
        <v>58</v>
      </c>
      <c r="B81" s="12"/>
      <c r="C81" s="48"/>
      <c r="D81" s="48"/>
      <c r="E81" s="48"/>
      <c r="F81" s="48">
        <f t="shared" si="16"/>
        <v>0</v>
      </c>
      <c r="G81" s="48"/>
      <c r="H81" s="48"/>
      <c r="I81" s="48">
        <f t="shared" si="17"/>
        <v>0</v>
      </c>
      <c r="J81" s="48"/>
      <c r="K81" s="48"/>
      <c r="L81" s="48">
        <f t="shared" si="18"/>
        <v>0</v>
      </c>
      <c r="M81" s="48">
        <v>30000</v>
      </c>
      <c r="N81" s="48"/>
      <c r="O81" s="48">
        <f t="shared" si="19"/>
        <v>30000</v>
      </c>
      <c r="P81" s="75"/>
      <c r="Q81" s="75"/>
      <c r="R81" s="75">
        <f t="shared" si="20"/>
        <v>30000</v>
      </c>
    </row>
    <row r="82" spans="1:18" ht="12.75">
      <c r="A82" s="8" t="s">
        <v>43</v>
      </c>
      <c r="B82" s="8"/>
      <c r="C82" s="48"/>
      <c r="D82" s="48"/>
      <c r="E82" s="48"/>
      <c r="F82" s="48">
        <f t="shared" si="16"/>
        <v>0</v>
      </c>
      <c r="G82" s="48"/>
      <c r="H82" s="48"/>
      <c r="I82" s="48">
        <f t="shared" si="17"/>
        <v>0</v>
      </c>
      <c r="J82" s="48"/>
      <c r="K82" s="48"/>
      <c r="L82" s="48">
        <f t="shared" si="18"/>
        <v>0</v>
      </c>
      <c r="M82" s="48">
        <f>1975+25373.5</f>
        <v>27348.5</v>
      </c>
      <c r="N82" s="48"/>
      <c r="O82" s="48">
        <f t="shared" si="19"/>
        <v>27348.5</v>
      </c>
      <c r="P82" s="75"/>
      <c r="Q82" s="75"/>
      <c r="R82" s="75">
        <f t="shared" si="20"/>
        <v>27348.5</v>
      </c>
    </row>
    <row r="83" spans="1:18" ht="12.75">
      <c r="A83" s="8" t="s">
        <v>44</v>
      </c>
      <c r="B83" s="8">
        <v>34544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>
        <f t="shared" si="19"/>
        <v>0</v>
      </c>
      <c r="P83" s="75">
        <f>175+96</f>
        <v>271</v>
      </c>
      <c r="Q83" s="75"/>
      <c r="R83" s="75">
        <f t="shared" si="20"/>
        <v>271</v>
      </c>
    </row>
    <row r="84" spans="1:18" ht="12.75">
      <c r="A84" s="8" t="s">
        <v>227</v>
      </c>
      <c r="B84" s="8"/>
      <c r="C84" s="48"/>
      <c r="D84" s="48"/>
      <c r="E84" s="48"/>
      <c r="F84" s="48">
        <f t="shared" si="16"/>
        <v>0</v>
      </c>
      <c r="G84" s="48"/>
      <c r="H84" s="48"/>
      <c r="I84" s="48">
        <f t="shared" si="17"/>
        <v>0</v>
      </c>
      <c r="J84" s="48">
        <v>2105.9</v>
      </c>
      <c r="K84" s="48"/>
      <c r="L84" s="48">
        <f t="shared" si="18"/>
        <v>2105.9</v>
      </c>
      <c r="M84" s="48">
        <v>1956.1</v>
      </c>
      <c r="N84" s="48"/>
      <c r="O84" s="48">
        <f t="shared" si="19"/>
        <v>4062</v>
      </c>
      <c r="P84" s="75">
        <f>687.3+2139.9</f>
        <v>2827.2</v>
      </c>
      <c r="Q84" s="75"/>
      <c r="R84" s="75">
        <f t="shared" si="20"/>
        <v>6889.2</v>
      </c>
    </row>
    <row r="85" spans="1:18" ht="12.75">
      <c r="A85" s="8" t="s">
        <v>228</v>
      </c>
      <c r="B85" s="8"/>
      <c r="C85" s="48"/>
      <c r="D85" s="48"/>
      <c r="E85" s="48"/>
      <c r="F85" s="48">
        <f t="shared" si="16"/>
        <v>0</v>
      </c>
      <c r="G85" s="48"/>
      <c r="H85" s="48"/>
      <c r="I85" s="48">
        <f t="shared" si="17"/>
        <v>0</v>
      </c>
      <c r="J85" s="48">
        <v>123.9</v>
      </c>
      <c r="K85" s="48"/>
      <c r="L85" s="48">
        <f t="shared" si="18"/>
        <v>123.9</v>
      </c>
      <c r="M85" s="48"/>
      <c r="N85" s="48"/>
      <c r="O85" s="48">
        <f t="shared" si="19"/>
        <v>123.9</v>
      </c>
      <c r="P85" s="75">
        <f>40.4+125.9</f>
        <v>166.3</v>
      </c>
      <c r="Q85" s="75"/>
      <c r="R85" s="75">
        <f t="shared" si="20"/>
        <v>290.20000000000005</v>
      </c>
    </row>
    <row r="86" spans="1:18" ht="12.75" hidden="1">
      <c r="A86" s="8" t="s">
        <v>59</v>
      </c>
      <c r="B86" s="8"/>
      <c r="C86" s="48"/>
      <c r="D86" s="48"/>
      <c r="E86" s="48"/>
      <c r="F86" s="48">
        <f t="shared" si="16"/>
        <v>0</v>
      </c>
      <c r="G86" s="48"/>
      <c r="H86" s="48"/>
      <c r="I86" s="48">
        <f t="shared" si="17"/>
        <v>0</v>
      </c>
      <c r="J86" s="48"/>
      <c r="K86" s="48"/>
      <c r="L86" s="48">
        <f t="shared" si="18"/>
        <v>0</v>
      </c>
      <c r="M86" s="48"/>
      <c r="N86" s="48"/>
      <c r="O86" s="48">
        <f t="shared" si="19"/>
        <v>0</v>
      </c>
      <c r="P86" s="75"/>
      <c r="Q86" s="75"/>
      <c r="R86" s="75">
        <f t="shared" si="20"/>
        <v>0</v>
      </c>
    </row>
    <row r="87" spans="1:18" ht="12.75">
      <c r="A87" s="8" t="s">
        <v>60</v>
      </c>
      <c r="B87" s="8"/>
      <c r="C87" s="48"/>
      <c r="D87" s="48"/>
      <c r="E87" s="48"/>
      <c r="F87" s="48">
        <f t="shared" si="16"/>
        <v>0</v>
      </c>
      <c r="G87" s="48">
        <f>8766.9+12341.2+9174.5</f>
        <v>30282.6</v>
      </c>
      <c r="H87" s="48"/>
      <c r="I87" s="48">
        <f t="shared" si="17"/>
        <v>30282.6</v>
      </c>
      <c r="J87" s="48">
        <f>2199.3+1777.1+7239.5+732.6+9168.5</f>
        <v>21117</v>
      </c>
      <c r="K87" s="48"/>
      <c r="L87" s="48">
        <f t="shared" si="18"/>
        <v>51399.6</v>
      </c>
      <c r="M87" s="48">
        <f>192.5+4361.8+7083+1823.8+6527.9</f>
        <v>19989</v>
      </c>
      <c r="N87" s="48"/>
      <c r="O87" s="48">
        <f t="shared" si="19"/>
        <v>71388.6</v>
      </c>
      <c r="P87" s="75">
        <f>2578.8+10682.2+16615.6+6207.1+17942.8+3097.4</f>
        <v>57123.9</v>
      </c>
      <c r="Q87" s="75"/>
      <c r="R87" s="75">
        <f t="shared" si="20"/>
        <v>128512.5</v>
      </c>
    </row>
    <row r="88" spans="1:18" ht="12.75" hidden="1">
      <c r="A88" s="8" t="s">
        <v>61</v>
      </c>
      <c r="B88" s="8"/>
      <c r="C88" s="48"/>
      <c r="D88" s="48"/>
      <c r="E88" s="48"/>
      <c r="F88" s="48">
        <f t="shared" si="16"/>
        <v>0</v>
      </c>
      <c r="G88" s="48"/>
      <c r="H88" s="48"/>
      <c r="I88" s="48">
        <f t="shared" si="17"/>
        <v>0</v>
      </c>
      <c r="J88" s="48"/>
      <c r="K88" s="48"/>
      <c r="L88" s="48">
        <f t="shared" si="18"/>
        <v>0</v>
      </c>
      <c r="M88" s="48"/>
      <c r="N88" s="48"/>
      <c r="O88" s="48">
        <f t="shared" si="19"/>
        <v>0</v>
      </c>
      <c r="P88" s="75"/>
      <c r="Q88" s="75"/>
      <c r="R88" s="75">
        <f t="shared" si="20"/>
        <v>0</v>
      </c>
    </row>
    <row r="89" spans="1:18" ht="12.75" hidden="1">
      <c r="A89" s="8" t="s">
        <v>47</v>
      </c>
      <c r="B89" s="8"/>
      <c r="C89" s="48"/>
      <c r="D89" s="48"/>
      <c r="E89" s="48"/>
      <c r="F89" s="48">
        <f t="shared" si="16"/>
        <v>0</v>
      </c>
      <c r="G89" s="48"/>
      <c r="H89" s="48"/>
      <c r="I89" s="48">
        <f t="shared" si="17"/>
        <v>0</v>
      </c>
      <c r="J89" s="48"/>
      <c r="K89" s="48"/>
      <c r="L89" s="48">
        <f t="shared" si="18"/>
        <v>0</v>
      </c>
      <c r="M89" s="48"/>
      <c r="N89" s="48"/>
      <c r="O89" s="48">
        <f t="shared" si="19"/>
        <v>0</v>
      </c>
      <c r="P89" s="84"/>
      <c r="Q89" s="84"/>
      <c r="R89" s="75">
        <f t="shared" si="20"/>
        <v>0</v>
      </c>
    </row>
    <row r="90" spans="1:18" ht="12.75" hidden="1">
      <c r="A90" s="8" t="s">
        <v>62</v>
      </c>
      <c r="B90" s="8"/>
      <c r="C90" s="48"/>
      <c r="D90" s="48"/>
      <c r="E90" s="48"/>
      <c r="F90" s="48">
        <f t="shared" si="16"/>
        <v>0</v>
      </c>
      <c r="G90" s="48"/>
      <c r="H90" s="48"/>
      <c r="I90" s="48">
        <f t="shared" si="17"/>
        <v>0</v>
      </c>
      <c r="J90" s="48"/>
      <c r="K90" s="48"/>
      <c r="L90" s="48">
        <f t="shared" si="18"/>
        <v>0</v>
      </c>
      <c r="M90" s="48"/>
      <c r="N90" s="48"/>
      <c r="O90" s="48">
        <f t="shared" si="19"/>
        <v>0</v>
      </c>
      <c r="P90" s="75"/>
      <c r="Q90" s="75"/>
      <c r="R90" s="75">
        <f t="shared" si="20"/>
        <v>0</v>
      </c>
    </row>
    <row r="91" spans="1:18" ht="12.75">
      <c r="A91" s="8" t="s">
        <v>241</v>
      </c>
      <c r="B91" s="8"/>
      <c r="C91" s="48"/>
      <c r="D91" s="48"/>
      <c r="E91" s="48"/>
      <c r="F91" s="48"/>
      <c r="G91" s="48"/>
      <c r="H91" s="48"/>
      <c r="I91" s="48"/>
      <c r="J91" s="48"/>
      <c r="K91" s="48"/>
      <c r="L91" s="48">
        <f t="shared" si="18"/>
        <v>0</v>
      </c>
      <c r="M91" s="48">
        <v>5000</v>
      </c>
      <c r="N91" s="48"/>
      <c r="O91" s="48">
        <f t="shared" si="19"/>
        <v>5000</v>
      </c>
      <c r="P91" s="75"/>
      <c r="Q91" s="75"/>
      <c r="R91" s="75">
        <f t="shared" si="20"/>
        <v>5000</v>
      </c>
    </row>
    <row r="92" spans="1:18" ht="12.75">
      <c r="A92" s="9" t="s">
        <v>63</v>
      </c>
      <c r="B92" s="9"/>
      <c r="C92" s="49">
        <f>SUM(C94:C97)</f>
        <v>0</v>
      </c>
      <c r="D92" s="49"/>
      <c r="E92" s="49"/>
      <c r="F92" s="49">
        <f>SUM(F94:F97)</f>
        <v>0</v>
      </c>
      <c r="G92" s="49">
        <f>SUM(G94:G97)</f>
        <v>0</v>
      </c>
      <c r="H92" s="49">
        <f>SUM(H94:H97)</f>
        <v>0</v>
      </c>
      <c r="I92" s="49">
        <f>SUM(I94:I97)</f>
        <v>0</v>
      </c>
      <c r="J92" s="49"/>
      <c r="K92" s="49"/>
      <c r="L92" s="49">
        <f aca="true" t="shared" si="21" ref="L92:R92">SUM(L94:L97)</f>
        <v>0</v>
      </c>
      <c r="M92" s="49">
        <f t="shared" si="21"/>
        <v>4076.6</v>
      </c>
      <c r="N92" s="49">
        <f t="shared" si="21"/>
        <v>0</v>
      </c>
      <c r="O92" s="49">
        <f t="shared" si="21"/>
        <v>4076.6</v>
      </c>
      <c r="P92" s="49">
        <f t="shared" si="21"/>
        <v>133.5</v>
      </c>
      <c r="Q92" s="49">
        <f t="shared" si="21"/>
        <v>0</v>
      </c>
      <c r="R92" s="49">
        <f t="shared" si="21"/>
        <v>4210.1</v>
      </c>
    </row>
    <row r="93" spans="1:18" ht="12.75">
      <c r="A93" s="6" t="s">
        <v>38</v>
      </c>
      <c r="B93" s="6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75"/>
      <c r="Q93" s="75"/>
      <c r="R93" s="75"/>
    </row>
    <row r="94" spans="1:18" ht="12.75" hidden="1">
      <c r="A94" s="8" t="s">
        <v>64</v>
      </c>
      <c r="B94" s="8"/>
      <c r="C94" s="48"/>
      <c r="D94" s="48"/>
      <c r="E94" s="48"/>
      <c r="F94" s="48">
        <f>C94+D94+E94</f>
        <v>0</v>
      </c>
      <c r="G94" s="48"/>
      <c r="H94" s="48"/>
      <c r="I94" s="48">
        <f>F94+G94+H94</f>
        <v>0</v>
      </c>
      <c r="J94" s="48"/>
      <c r="K94" s="48"/>
      <c r="L94" s="48">
        <f>I94+J94+K94</f>
        <v>0</v>
      </c>
      <c r="M94" s="48"/>
      <c r="N94" s="48"/>
      <c r="O94" s="48">
        <f>L94+M94+N94</f>
        <v>0</v>
      </c>
      <c r="P94" s="75"/>
      <c r="Q94" s="75"/>
      <c r="R94" s="75">
        <f>O94+P94+Q94</f>
        <v>0</v>
      </c>
    </row>
    <row r="95" spans="1:18" ht="12.75">
      <c r="A95" s="8" t="s">
        <v>363</v>
      </c>
      <c r="B95" s="8">
        <v>13899</v>
      </c>
      <c r="C95" s="48"/>
      <c r="D95" s="48"/>
      <c r="E95" s="48"/>
      <c r="F95" s="48"/>
      <c r="G95" s="48"/>
      <c r="H95" s="48"/>
      <c r="I95" s="48"/>
      <c r="J95" s="48"/>
      <c r="K95" s="48"/>
      <c r="L95" s="48">
        <f>I95+J95+K95</f>
        <v>0</v>
      </c>
      <c r="M95" s="48">
        <v>4076.6</v>
      </c>
      <c r="N95" s="48"/>
      <c r="O95" s="48">
        <f>L95+M95+N95</f>
        <v>4076.6</v>
      </c>
      <c r="P95" s="75">
        <v>133.5</v>
      </c>
      <c r="Q95" s="75"/>
      <c r="R95" s="75">
        <f>O95+P95+Q95</f>
        <v>4210.1</v>
      </c>
    </row>
    <row r="96" spans="1:18" ht="12.75" hidden="1">
      <c r="A96" s="8" t="s">
        <v>35</v>
      </c>
      <c r="B96" s="8"/>
      <c r="C96" s="48"/>
      <c r="D96" s="48"/>
      <c r="E96" s="48"/>
      <c r="F96" s="48">
        <f>C96+D96+E96</f>
        <v>0</v>
      </c>
      <c r="G96" s="48"/>
      <c r="H96" s="48"/>
      <c r="I96" s="48">
        <f>F96+G96+H96</f>
        <v>0</v>
      </c>
      <c r="J96" s="48"/>
      <c r="K96" s="48"/>
      <c r="L96" s="48">
        <f>I96+J96+K96</f>
        <v>0</v>
      </c>
      <c r="M96" s="48"/>
      <c r="N96" s="48"/>
      <c r="O96" s="48">
        <f>L96+M96+N96</f>
        <v>0</v>
      </c>
      <c r="P96" s="75"/>
      <c r="Q96" s="75"/>
      <c r="R96" s="75">
        <f>O96+P96+Q96</f>
        <v>0</v>
      </c>
    </row>
    <row r="97" spans="1:18" ht="12.75" hidden="1">
      <c r="A97" s="8" t="s">
        <v>55</v>
      </c>
      <c r="B97" s="8"/>
      <c r="C97" s="48"/>
      <c r="D97" s="48"/>
      <c r="E97" s="48"/>
      <c r="F97" s="48">
        <f>C97+D97+E97</f>
        <v>0</v>
      </c>
      <c r="G97" s="48"/>
      <c r="H97" s="48"/>
      <c r="I97" s="48">
        <f>F97+G97+H97</f>
        <v>0</v>
      </c>
      <c r="J97" s="48"/>
      <c r="K97" s="48"/>
      <c r="L97" s="48">
        <f>I97+J97+K97</f>
        <v>0</v>
      </c>
      <c r="M97" s="48"/>
      <c r="N97" s="48"/>
      <c r="O97" s="48">
        <f>L97+M97+N97</f>
        <v>0</v>
      </c>
      <c r="P97" s="75"/>
      <c r="Q97" s="75"/>
      <c r="R97" s="75">
        <f>O97+P97+Q97</f>
        <v>0</v>
      </c>
    </row>
    <row r="98" spans="1:18" ht="12.75">
      <c r="A98" s="9" t="s">
        <v>65</v>
      </c>
      <c r="B98" s="9"/>
      <c r="C98" s="49"/>
      <c r="D98" s="49"/>
      <c r="E98" s="49"/>
      <c r="F98" s="49">
        <f>C98+D98+E98</f>
        <v>0</v>
      </c>
      <c r="G98" s="49">
        <v>660</v>
      </c>
      <c r="H98" s="49"/>
      <c r="I98" s="49">
        <f>F98+G98+H98</f>
        <v>660</v>
      </c>
      <c r="J98" s="49">
        <f>1792.1+2122.9+533.1+487.8+393+678.1</f>
        <v>6007.000000000001</v>
      </c>
      <c r="K98" s="49">
        <f>3495.7-23.3</f>
        <v>3472.3999999999996</v>
      </c>
      <c r="L98" s="49">
        <f>I98+J98+K98</f>
        <v>10139.400000000001</v>
      </c>
      <c r="M98" s="49"/>
      <c r="N98" s="49"/>
      <c r="O98" s="49">
        <f>L98+M98+N98</f>
        <v>10139.400000000001</v>
      </c>
      <c r="P98" s="88">
        <f>592</f>
        <v>592</v>
      </c>
      <c r="Q98" s="75"/>
      <c r="R98" s="88">
        <f>O98+P98+Q98</f>
        <v>10731.400000000001</v>
      </c>
    </row>
    <row r="99" spans="1:18" ht="16.5" thickBot="1">
      <c r="A99" s="13" t="s">
        <v>66</v>
      </c>
      <c r="B99" s="13"/>
      <c r="C99" s="50">
        <f>C11+C14+C48+C98+C76+C41+C92</f>
        <v>3334394.5</v>
      </c>
      <c r="D99" s="50">
        <f>D11+D14+D48+D98+D76+D41</f>
        <v>0</v>
      </c>
      <c r="E99" s="50">
        <f>E11+E14+E48+E98+E76+E41</f>
        <v>0</v>
      </c>
      <c r="F99" s="50">
        <f>F11+F14+F48+F98+F76+F41</f>
        <v>3334394.5</v>
      </c>
      <c r="G99" s="50">
        <f>G11+G14+G48+G98+G76+G41</f>
        <v>4461077.500000001</v>
      </c>
      <c r="H99" s="50">
        <f>H11+H14+H48+H98+H76+H41</f>
        <v>-2490.1</v>
      </c>
      <c r="I99" s="50">
        <f aca="true" t="shared" si="22" ref="I99:R99">I11+I14+I48+I98+I76+I41+I92</f>
        <v>7792981.9</v>
      </c>
      <c r="J99" s="50">
        <f t="shared" si="22"/>
        <v>506778.4000000001</v>
      </c>
      <c r="K99" s="50">
        <f t="shared" si="22"/>
        <v>12627.2</v>
      </c>
      <c r="L99" s="50">
        <f t="shared" si="22"/>
        <v>8312387.500000001</v>
      </c>
      <c r="M99" s="50">
        <f t="shared" si="22"/>
        <v>310866.2</v>
      </c>
      <c r="N99" s="50">
        <f t="shared" si="22"/>
        <v>3043.1</v>
      </c>
      <c r="O99" s="50">
        <f t="shared" si="22"/>
        <v>8626296.799999999</v>
      </c>
      <c r="P99" s="50">
        <f t="shared" si="22"/>
        <v>197994.69999999998</v>
      </c>
      <c r="Q99" s="50">
        <f t="shared" si="22"/>
        <v>0</v>
      </c>
      <c r="R99" s="50">
        <f t="shared" si="22"/>
        <v>8824291.5</v>
      </c>
    </row>
    <row r="100" spans="1:18" ht="12.75">
      <c r="A100" s="5" t="s">
        <v>67</v>
      </c>
      <c r="B100" s="5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75"/>
      <c r="Q100" s="75"/>
      <c r="R100" s="75"/>
    </row>
    <row r="101" spans="1:18" ht="12.75">
      <c r="A101" s="5" t="s">
        <v>68</v>
      </c>
      <c r="B101" s="5"/>
      <c r="C101" s="47">
        <f aca="true" t="shared" si="23" ref="C101:O101">C102+C115</f>
        <v>38874</v>
      </c>
      <c r="D101" s="47">
        <f t="shared" si="23"/>
        <v>0</v>
      </c>
      <c r="E101" s="47">
        <f t="shared" si="23"/>
        <v>0</v>
      </c>
      <c r="F101" s="47">
        <f t="shared" si="23"/>
        <v>38874</v>
      </c>
      <c r="G101" s="47">
        <f t="shared" si="23"/>
        <v>1947.6</v>
      </c>
      <c r="H101" s="47">
        <f t="shared" si="23"/>
        <v>0</v>
      </c>
      <c r="I101" s="47">
        <f t="shared" si="23"/>
        <v>40821.6</v>
      </c>
      <c r="J101" s="47">
        <f t="shared" si="23"/>
        <v>1395.4</v>
      </c>
      <c r="K101" s="47">
        <f t="shared" si="23"/>
        <v>5000</v>
      </c>
      <c r="L101" s="47">
        <f t="shared" si="23"/>
        <v>47217</v>
      </c>
      <c r="M101" s="47">
        <f t="shared" si="23"/>
        <v>28400</v>
      </c>
      <c r="N101" s="47">
        <f t="shared" si="23"/>
        <v>0</v>
      </c>
      <c r="O101" s="47">
        <f t="shared" si="23"/>
        <v>75617</v>
      </c>
      <c r="P101" s="47">
        <f>P102+P115</f>
        <v>330</v>
      </c>
      <c r="Q101" s="47">
        <f>Q102+Q115</f>
        <v>0</v>
      </c>
      <c r="R101" s="47">
        <f>R102+R115</f>
        <v>75947</v>
      </c>
    </row>
    <row r="102" spans="1:18" ht="12.75">
      <c r="A102" s="14" t="s">
        <v>69</v>
      </c>
      <c r="B102" s="14"/>
      <c r="C102" s="51">
        <f aca="true" t="shared" si="24" ref="C102:L102">SUM(C104:C114)</f>
        <v>38874</v>
      </c>
      <c r="D102" s="51">
        <f t="shared" si="24"/>
        <v>0</v>
      </c>
      <c r="E102" s="51">
        <f t="shared" si="24"/>
        <v>0</v>
      </c>
      <c r="F102" s="51">
        <f t="shared" si="24"/>
        <v>38874</v>
      </c>
      <c r="G102" s="51">
        <f t="shared" si="24"/>
        <v>1947.6</v>
      </c>
      <c r="H102" s="51">
        <f t="shared" si="24"/>
        <v>0</v>
      </c>
      <c r="I102" s="51">
        <f t="shared" si="24"/>
        <v>40821.6</v>
      </c>
      <c r="J102" s="51">
        <f t="shared" si="24"/>
        <v>1395.4</v>
      </c>
      <c r="K102" s="51">
        <f t="shared" si="24"/>
        <v>5000</v>
      </c>
      <c r="L102" s="51">
        <f t="shared" si="24"/>
        <v>47217</v>
      </c>
      <c r="M102" s="51">
        <f aca="true" t="shared" si="25" ref="M102:R102">SUM(M104:M114)</f>
        <v>28400</v>
      </c>
      <c r="N102" s="51">
        <f t="shared" si="25"/>
        <v>0</v>
      </c>
      <c r="O102" s="51">
        <f t="shared" si="25"/>
        <v>75617</v>
      </c>
      <c r="P102" s="51">
        <f t="shared" si="25"/>
        <v>330</v>
      </c>
      <c r="Q102" s="51">
        <f t="shared" si="25"/>
        <v>0</v>
      </c>
      <c r="R102" s="51">
        <f t="shared" si="25"/>
        <v>75947</v>
      </c>
    </row>
    <row r="103" spans="1:18" ht="10.5" customHeight="1">
      <c r="A103" s="10" t="s">
        <v>38</v>
      </c>
      <c r="B103" s="10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75"/>
      <c r="Q103" s="75"/>
      <c r="R103" s="75"/>
    </row>
    <row r="104" spans="1:18" ht="12.75">
      <c r="A104" s="8" t="s">
        <v>181</v>
      </c>
      <c r="B104" s="8"/>
      <c r="C104" s="48">
        <v>17328</v>
      </c>
      <c r="D104" s="48"/>
      <c r="E104" s="48"/>
      <c r="F104" s="48">
        <f>C104+D104</f>
        <v>17328</v>
      </c>
      <c r="G104" s="48"/>
      <c r="H104" s="48"/>
      <c r="I104" s="48">
        <f aca="true" t="shared" si="26" ref="I104:I114">F104+G104+H104</f>
        <v>17328</v>
      </c>
      <c r="J104" s="48"/>
      <c r="K104" s="48"/>
      <c r="L104" s="48">
        <f aca="true" t="shared" si="27" ref="L104:L114">I104+J104+K104</f>
        <v>17328</v>
      </c>
      <c r="M104" s="48"/>
      <c r="N104" s="48"/>
      <c r="O104" s="48">
        <f aca="true" t="shared" si="28" ref="O104:O114">L104+M104+N104</f>
        <v>17328</v>
      </c>
      <c r="P104" s="75"/>
      <c r="Q104" s="75"/>
      <c r="R104" s="75">
        <f>O104+P104+Q104</f>
        <v>17328</v>
      </c>
    </row>
    <row r="105" spans="1:18" ht="12.75">
      <c r="A105" s="8" t="s">
        <v>70</v>
      </c>
      <c r="B105" s="8"/>
      <c r="C105" s="48">
        <v>4446</v>
      </c>
      <c r="D105" s="48"/>
      <c r="E105" s="48"/>
      <c r="F105" s="48">
        <f>C105+D105</f>
        <v>4446</v>
      </c>
      <c r="G105" s="48"/>
      <c r="H105" s="48"/>
      <c r="I105" s="48">
        <f t="shared" si="26"/>
        <v>4446</v>
      </c>
      <c r="J105" s="48"/>
      <c r="K105" s="48"/>
      <c r="L105" s="48">
        <f t="shared" si="27"/>
        <v>4446</v>
      </c>
      <c r="M105" s="48"/>
      <c r="N105" s="48"/>
      <c r="O105" s="48">
        <f t="shared" si="28"/>
        <v>4446</v>
      </c>
      <c r="P105" s="75"/>
      <c r="Q105" s="75"/>
      <c r="R105" s="75">
        <f aca="true" t="shared" si="29" ref="R105:R114">O105+P105+Q105</f>
        <v>4446</v>
      </c>
    </row>
    <row r="106" spans="1:18" ht="12.75">
      <c r="A106" s="8" t="s">
        <v>71</v>
      </c>
      <c r="B106" s="8"/>
      <c r="C106" s="48">
        <v>1300</v>
      </c>
      <c r="D106" s="48"/>
      <c r="E106" s="48"/>
      <c r="F106" s="48">
        <f>C106+D106+E106</f>
        <v>1300</v>
      </c>
      <c r="G106" s="48"/>
      <c r="H106" s="48"/>
      <c r="I106" s="48">
        <f t="shared" si="26"/>
        <v>1300</v>
      </c>
      <c r="J106" s="48"/>
      <c r="K106" s="48"/>
      <c r="L106" s="48">
        <f t="shared" si="27"/>
        <v>1300</v>
      </c>
      <c r="M106" s="48"/>
      <c r="N106" s="48"/>
      <c r="O106" s="48">
        <f t="shared" si="28"/>
        <v>1300</v>
      </c>
      <c r="P106" s="75"/>
      <c r="Q106" s="75"/>
      <c r="R106" s="75">
        <f t="shared" si="29"/>
        <v>1300</v>
      </c>
    </row>
    <row r="107" spans="1:18" ht="12.75" hidden="1">
      <c r="A107" s="8" t="s">
        <v>234</v>
      </c>
      <c r="B107" s="8"/>
      <c r="C107" s="48"/>
      <c r="D107" s="48"/>
      <c r="E107" s="48"/>
      <c r="F107" s="48">
        <f>C107+D107+E107</f>
        <v>0</v>
      </c>
      <c r="G107" s="48"/>
      <c r="H107" s="48"/>
      <c r="I107" s="48">
        <f t="shared" si="26"/>
        <v>0</v>
      </c>
      <c r="J107" s="48"/>
      <c r="K107" s="48"/>
      <c r="L107" s="48">
        <f t="shared" si="27"/>
        <v>0</v>
      </c>
      <c r="M107" s="48"/>
      <c r="N107" s="48"/>
      <c r="O107" s="48">
        <f t="shared" si="28"/>
        <v>0</v>
      </c>
      <c r="P107" s="75"/>
      <c r="Q107" s="75"/>
      <c r="R107" s="75">
        <f t="shared" si="29"/>
        <v>0</v>
      </c>
    </row>
    <row r="108" spans="1:18" ht="12.75">
      <c r="A108" s="8" t="s">
        <v>235</v>
      </c>
      <c r="B108" s="8"/>
      <c r="C108" s="48"/>
      <c r="D108" s="48"/>
      <c r="E108" s="48"/>
      <c r="F108" s="48">
        <f>C108+D108+E108</f>
        <v>0</v>
      </c>
      <c r="G108" s="48"/>
      <c r="H108" s="48"/>
      <c r="I108" s="48">
        <f t="shared" si="26"/>
        <v>0</v>
      </c>
      <c r="J108" s="48">
        <v>1000</v>
      </c>
      <c r="K108" s="48"/>
      <c r="L108" s="48">
        <f t="shared" si="27"/>
        <v>1000</v>
      </c>
      <c r="M108" s="48"/>
      <c r="N108" s="48"/>
      <c r="O108" s="48">
        <f t="shared" si="28"/>
        <v>1000</v>
      </c>
      <c r="P108" s="75"/>
      <c r="Q108" s="75"/>
      <c r="R108" s="75">
        <f t="shared" si="29"/>
        <v>1000</v>
      </c>
    </row>
    <row r="109" spans="1:18" ht="12.75">
      <c r="A109" s="8" t="s">
        <v>333</v>
      </c>
      <c r="B109" s="8">
        <v>6001</v>
      </c>
      <c r="C109" s="48"/>
      <c r="D109" s="48"/>
      <c r="E109" s="48"/>
      <c r="F109" s="48"/>
      <c r="G109" s="48"/>
      <c r="H109" s="48"/>
      <c r="I109" s="48">
        <f t="shared" si="26"/>
        <v>0</v>
      </c>
      <c r="J109" s="48">
        <v>500</v>
      </c>
      <c r="K109" s="48"/>
      <c r="L109" s="48">
        <f t="shared" si="27"/>
        <v>500</v>
      </c>
      <c r="M109" s="48"/>
      <c r="N109" s="48"/>
      <c r="O109" s="48">
        <f t="shared" si="28"/>
        <v>500</v>
      </c>
      <c r="P109" s="75"/>
      <c r="Q109" s="75"/>
      <c r="R109" s="75">
        <f t="shared" si="29"/>
        <v>500</v>
      </c>
    </row>
    <row r="110" spans="1:18" ht="12.75">
      <c r="A110" s="8" t="s">
        <v>72</v>
      </c>
      <c r="B110" s="8"/>
      <c r="C110" s="48">
        <v>7700</v>
      </c>
      <c r="D110" s="48"/>
      <c r="E110" s="48"/>
      <c r="F110" s="48">
        <f>C110+D110+E110</f>
        <v>7700</v>
      </c>
      <c r="G110" s="48">
        <f>447.6+1500</f>
        <v>1947.6</v>
      </c>
      <c r="H110" s="48"/>
      <c r="I110" s="48">
        <f t="shared" si="26"/>
        <v>9647.6</v>
      </c>
      <c r="J110" s="48">
        <f>120-700</f>
        <v>-580</v>
      </c>
      <c r="K110" s="48"/>
      <c r="L110" s="48">
        <f t="shared" si="27"/>
        <v>9067.6</v>
      </c>
      <c r="M110" s="48">
        <v>200</v>
      </c>
      <c r="N110" s="48"/>
      <c r="O110" s="48">
        <f t="shared" si="28"/>
        <v>9267.6</v>
      </c>
      <c r="P110" s="75">
        <f>330</f>
        <v>330</v>
      </c>
      <c r="Q110" s="75"/>
      <c r="R110" s="75">
        <f t="shared" si="29"/>
        <v>9597.6</v>
      </c>
    </row>
    <row r="111" spans="1:18" ht="12.75">
      <c r="A111" s="8" t="s">
        <v>103</v>
      </c>
      <c r="B111" s="8"/>
      <c r="C111" s="48"/>
      <c r="D111" s="48"/>
      <c r="E111" s="48"/>
      <c r="F111" s="48"/>
      <c r="G111" s="48"/>
      <c r="H111" s="48"/>
      <c r="I111" s="48">
        <f t="shared" si="26"/>
        <v>0</v>
      </c>
      <c r="J111" s="48">
        <f>443.7+31.7</f>
        <v>475.4</v>
      </c>
      <c r="K111" s="48"/>
      <c r="L111" s="48">
        <f t="shared" si="27"/>
        <v>475.4</v>
      </c>
      <c r="M111" s="48"/>
      <c r="N111" s="48"/>
      <c r="O111" s="48">
        <f t="shared" si="28"/>
        <v>475.4</v>
      </c>
      <c r="P111" s="75"/>
      <c r="Q111" s="75"/>
      <c r="R111" s="75">
        <f t="shared" si="29"/>
        <v>475.4</v>
      </c>
    </row>
    <row r="112" spans="1:18" ht="12.75">
      <c r="A112" s="8" t="s">
        <v>358</v>
      </c>
      <c r="B112" s="8">
        <v>98011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>
        <f t="shared" si="27"/>
        <v>0</v>
      </c>
      <c r="M112" s="48">
        <v>30000</v>
      </c>
      <c r="N112" s="48"/>
      <c r="O112" s="48">
        <f t="shared" si="28"/>
        <v>30000</v>
      </c>
      <c r="P112" s="75"/>
      <c r="Q112" s="75"/>
      <c r="R112" s="75">
        <f t="shared" si="29"/>
        <v>30000</v>
      </c>
    </row>
    <row r="113" spans="1:18" ht="12.75">
      <c r="A113" s="8" t="s">
        <v>73</v>
      </c>
      <c r="B113" s="8"/>
      <c r="C113" s="48">
        <v>500</v>
      </c>
      <c r="D113" s="48"/>
      <c r="E113" s="48"/>
      <c r="F113" s="48">
        <f>SUM(C113:E113)</f>
        <v>500</v>
      </c>
      <c r="G113" s="48"/>
      <c r="H113" s="48"/>
      <c r="I113" s="48">
        <f t="shared" si="26"/>
        <v>500</v>
      </c>
      <c r="J113" s="48"/>
      <c r="K113" s="48">
        <v>5000</v>
      </c>
      <c r="L113" s="48">
        <f t="shared" si="27"/>
        <v>5500</v>
      </c>
      <c r="M113" s="48">
        <v>-3000</v>
      </c>
      <c r="N113" s="48"/>
      <c r="O113" s="48">
        <f t="shared" si="28"/>
        <v>2500</v>
      </c>
      <c r="P113" s="75"/>
      <c r="Q113" s="75"/>
      <c r="R113" s="75">
        <f t="shared" si="29"/>
        <v>2500</v>
      </c>
    </row>
    <row r="114" spans="1:18" ht="12.75">
      <c r="A114" s="11" t="s">
        <v>74</v>
      </c>
      <c r="B114" s="11"/>
      <c r="C114" s="52">
        <v>7600</v>
      </c>
      <c r="D114" s="52"/>
      <c r="E114" s="52"/>
      <c r="F114" s="52">
        <f>SUM(C114:E114)</f>
        <v>7600</v>
      </c>
      <c r="G114" s="52"/>
      <c r="H114" s="52"/>
      <c r="I114" s="52">
        <f t="shared" si="26"/>
        <v>7600</v>
      </c>
      <c r="J114" s="52"/>
      <c r="K114" s="52"/>
      <c r="L114" s="52">
        <f t="shared" si="27"/>
        <v>7600</v>
      </c>
      <c r="M114" s="52">
        <f>200+1000</f>
        <v>1200</v>
      </c>
      <c r="N114" s="52"/>
      <c r="O114" s="52">
        <f t="shared" si="28"/>
        <v>8800</v>
      </c>
      <c r="P114" s="85"/>
      <c r="Q114" s="85"/>
      <c r="R114" s="85">
        <f t="shared" si="29"/>
        <v>8800</v>
      </c>
    </row>
    <row r="115" spans="1:18" ht="12.75" hidden="1">
      <c r="A115" s="15" t="s">
        <v>75</v>
      </c>
      <c r="B115" s="15"/>
      <c r="C115" s="53">
        <f>SUM(C117:C120)</f>
        <v>0</v>
      </c>
      <c r="D115" s="53">
        <f>SUM(D117:D120)</f>
        <v>0</v>
      </c>
      <c r="E115" s="53"/>
      <c r="F115" s="53">
        <f>SUM(F117:F120)</f>
        <v>0</v>
      </c>
      <c r="G115" s="53">
        <f>SUM(G117:G120)</f>
        <v>0</v>
      </c>
      <c r="H115" s="53">
        <f>SUM(H117:H120)</f>
        <v>0</v>
      </c>
      <c r="I115" s="53">
        <f>SUM(I117:I120)</f>
        <v>0</v>
      </c>
      <c r="J115" s="53">
        <f>SUM(J117:J120)</f>
        <v>0</v>
      </c>
      <c r="K115" s="53"/>
      <c r="L115" s="53">
        <f aca="true" t="shared" si="30" ref="L115:R115">SUM(L117:L120)</f>
        <v>0</v>
      </c>
      <c r="M115" s="53">
        <f t="shared" si="30"/>
        <v>0</v>
      </c>
      <c r="N115" s="53">
        <f t="shared" si="30"/>
        <v>0</v>
      </c>
      <c r="O115" s="53">
        <f t="shared" si="30"/>
        <v>0</v>
      </c>
      <c r="P115" s="53">
        <f t="shared" si="30"/>
        <v>0</v>
      </c>
      <c r="Q115" s="53">
        <f t="shared" si="30"/>
        <v>0</v>
      </c>
      <c r="R115" s="53">
        <f t="shared" si="30"/>
        <v>0</v>
      </c>
    </row>
    <row r="116" spans="1:18" ht="11.25" customHeight="1" hidden="1">
      <c r="A116" s="6" t="s">
        <v>38</v>
      </c>
      <c r="B116" s="6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75"/>
      <c r="Q116" s="75"/>
      <c r="R116" s="75"/>
    </row>
    <row r="117" spans="1:18" ht="12.75" hidden="1">
      <c r="A117" s="8" t="s">
        <v>236</v>
      </c>
      <c r="B117" s="8"/>
      <c r="C117" s="48"/>
      <c r="D117" s="48"/>
      <c r="E117" s="48"/>
      <c r="F117" s="48">
        <f>C117+D117</f>
        <v>0</v>
      </c>
      <c r="G117" s="48"/>
      <c r="H117" s="48"/>
      <c r="I117" s="48">
        <f>F117+G117+H117</f>
        <v>0</v>
      </c>
      <c r="J117" s="48"/>
      <c r="K117" s="48"/>
      <c r="L117" s="48">
        <f>I117+J117+K117</f>
        <v>0</v>
      </c>
      <c r="M117" s="48"/>
      <c r="N117" s="48"/>
      <c r="O117" s="48">
        <f>L117+M117+N117</f>
        <v>0</v>
      </c>
      <c r="P117" s="75"/>
      <c r="Q117" s="75"/>
      <c r="R117" s="75">
        <f>O117+P117+Q117</f>
        <v>0</v>
      </c>
    </row>
    <row r="118" spans="1:18" ht="12.75" hidden="1">
      <c r="A118" s="8" t="s">
        <v>353</v>
      </c>
      <c r="B118" s="8"/>
      <c r="C118" s="48"/>
      <c r="D118" s="48"/>
      <c r="E118" s="48"/>
      <c r="F118" s="48"/>
      <c r="G118" s="48"/>
      <c r="H118" s="48"/>
      <c r="I118" s="48">
        <f>F118+G118+H118</f>
        <v>0</v>
      </c>
      <c r="J118" s="48"/>
      <c r="K118" s="48"/>
      <c r="L118" s="48">
        <f>I118+J118+K118</f>
        <v>0</v>
      </c>
      <c r="M118" s="48"/>
      <c r="N118" s="48"/>
      <c r="O118" s="48">
        <f>L118+M118+N118</f>
        <v>0</v>
      </c>
      <c r="P118" s="75"/>
      <c r="Q118" s="75"/>
      <c r="R118" s="75">
        <f>O118+P118+Q118</f>
        <v>0</v>
      </c>
    </row>
    <row r="119" spans="1:18" ht="12.75" hidden="1">
      <c r="A119" s="8" t="s">
        <v>74</v>
      </c>
      <c r="B119" s="8"/>
      <c r="C119" s="48"/>
      <c r="D119" s="48"/>
      <c r="E119" s="48"/>
      <c r="F119" s="48">
        <f>C119+D119</f>
        <v>0</v>
      </c>
      <c r="G119" s="48"/>
      <c r="H119" s="48"/>
      <c r="I119" s="48">
        <f>F119+G119+H119</f>
        <v>0</v>
      </c>
      <c r="J119" s="48"/>
      <c r="K119" s="48"/>
      <c r="L119" s="48">
        <f>I119+J119+K119</f>
        <v>0</v>
      </c>
      <c r="M119" s="48"/>
      <c r="N119" s="48"/>
      <c r="O119" s="48">
        <f>L119+M119+N119</f>
        <v>0</v>
      </c>
      <c r="P119" s="75"/>
      <c r="Q119" s="75"/>
      <c r="R119" s="75">
        <f>O119+P119+Q119</f>
        <v>0</v>
      </c>
    </row>
    <row r="120" spans="1:18" ht="12.75" hidden="1">
      <c r="A120" s="11" t="s">
        <v>76</v>
      </c>
      <c r="B120" s="11"/>
      <c r="C120" s="52"/>
      <c r="D120" s="52"/>
      <c r="E120" s="52"/>
      <c r="F120" s="52">
        <f>SUM(C120:E120)</f>
        <v>0</v>
      </c>
      <c r="G120" s="52"/>
      <c r="H120" s="52"/>
      <c r="I120" s="52">
        <f>F120+G120+H120</f>
        <v>0</v>
      </c>
      <c r="J120" s="52"/>
      <c r="K120" s="52"/>
      <c r="L120" s="52">
        <f>I120+J120+K120</f>
        <v>0</v>
      </c>
      <c r="M120" s="52"/>
      <c r="N120" s="52"/>
      <c r="O120" s="52">
        <f>L120+M120+N120</f>
        <v>0</v>
      </c>
      <c r="P120" s="85"/>
      <c r="Q120" s="85"/>
      <c r="R120" s="85">
        <f>O120+P120+Q120</f>
        <v>0</v>
      </c>
    </row>
    <row r="121" spans="1:18" ht="12.75">
      <c r="A121" s="5" t="s">
        <v>77</v>
      </c>
      <c r="B121" s="5"/>
      <c r="C121" s="47">
        <f aca="true" t="shared" si="31" ref="C121:O121">C122+C142</f>
        <v>288001.2</v>
      </c>
      <c r="D121" s="47">
        <f t="shared" si="31"/>
        <v>0</v>
      </c>
      <c r="E121" s="47">
        <f t="shared" si="31"/>
        <v>0</v>
      </c>
      <c r="F121" s="47">
        <f t="shared" si="31"/>
        <v>288001.2</v>
      </c>
      <c r="G121" s="47">
        <f t="shared" si="31"/>
        <v>9723.400000000001</v>
      </c>
      <c r="H121" s="47">
        <f t="shared" si="31"/>
        <v>0</v>
      </c>
      <c r="I121" s="47">
        <f t="shared" si="31"/>
        <v>297724.5999999999</v>
      </c>
      <c r="J121" s="47">
        <f t="shared" si="31"/>
        <v>1801.4</v>
      </c>
      <c r="K121" s="47">
        <f t="shared" si="31"/>
        <v>0</v>
      </c>
      <c r="L121" s="47">
        <f t="shared" si="31"/>
        <v>299526</v>
      </c>
      <c r="M121" s="47">
        <f t="shared" si="31"/>
        <v>34470.1</v>
      </c>
      <c r="N121" s="47">
        <f t="shared" si="31"/>
        <v>0</v>
      </c>
      <c r="O121" s="47">
        <f t="shared" si="31"/>
        <v>333996.1</v>
      </c>
      <c r="P121" s="47">
        <f>P122+P142</f>
        <v>776.7</v>
      </c>
      <c r="Q121" s="47">
        <f>Q122+Q142</f>
        <v>0</v>
      </c>
      <c r="R121" s="47">
        <f>R122+R142</f>
        <v>334772.8</v>
      </c>
    </row>
    <row r="122" spans="1:18" ht="12.75">
      <c r="A122" s="14" t="s">
        <v>69</v>
      </c>
      <c r="B122" s="14"/>
      <c r="C122" s="51">
        <f aca="true" t="shared" si="32" ref="C122:O122">SUM(C124:C141)</f>
        <v>288001.2</v>
      </c>
      <c r="D122" s="51">
        <f t="shared" si="32"/>
        <v>0</v>
      </c>
      <c r="E122" s="51">
        <f t="shared" si="32"/>
        <v>0</v>
      </c>
      <c r="F122" s="51">
        <f t="shared" si="32"/>
        <v>288001.2</v>
      </c>
      <c r="G122" s="51">
        <f t="shared" si="32"/>
        <v>8603.400000000001</v>
      </c>
      <c r="H122" s="51">
        <f t="shared" si="32"/>
        <v>0</v>
      </c>
      <c r="I122" s="51">
        <f t="shared" si="32"/>
        <v>296604.5999999999</v>
      </c>
      <c r="J122" s="51">
        <f t="shared" si="32"/>
        <v>1291.5</v>
      </c>
      <c r="K122" s="51">
        <f t="shared" si="32"/>
        <v>0</v>
      </c>
      <c r="L122" s="51">
        <f t="shared" si="32"/>
        <v>297896.1</v>
      </c>
      <c r="M122" s="51">
        <f t="shared" si="32"/>
        <v>2338.9</v>
      </c>
      <c r="N122" s="51">
        <f t="shared" si="32"/>
        <v>0</v>
      </c>
      <c r="O122" s="51">
        <f t="shared" si="32"/>
        <v>300235</v>
      </c>
      <c r="P122" s="51">
        <f>SUM(P124:P141)</f>
        <v>228.6</v>
      </c>
      <c r="Q122" s="51">
        <f>SUM(Q124:Q141)</f>
        <v>0</v>
      </c>
      <c r="R122" s="51">
        <f>SUM(R124:R141)</f>
        <v>300463.6</v>
      </c>
    </row>
    <row r="123" spans="1:18" ht="12.75">
      <c r="A123" s="10" t="s">
        <v>38</v>
      </c>
      <c r="B123" s="10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75"/>
      <c r="Q123" s="75"/>
      <c r="R123" s="75"/>
    </row>
    <row r="124" spans="1:18" ht="12.75">
      <c r="A124" s="17" t="s">
        <v>182</v>
      </c>
      <c r="B124" s="17"/>
      <c r="C124" s="48">
        <v>133151.3</v>
      </c>
      <c r="D124" s="48"/>
      <c r="E124" s="48"/>
      <c r="F124" s="48">
        <f>C124+D124+E124</f>
        <v>133151.3</v>
      </c>
      <c r="G124" s="48">
        <v>2523.2</v>
      </c>
      <c r="H124" s="48"/>
      <c r="I124" s="48">
        <f>F124+G124+H124</f>
        <v>135674.5</v>
      </c>
      <c r="J124" s="48">
        <v>150</v>
      </c>
      <c r="K124" s="48"/>
      <c r="L124" s="48">
        <f>I124+J124+K124</f>
        <v>135824.5</v>
      </c>
      <c r="M124" s="48"/>
      <c r="N124" s="48"/>
      <c r="O124" s="48">
        <f>L124+M124+N124</f>
        <v>135824.5</v>
      </c>
      <c r="P124" s="75"/>
      <c r="Q124" s="75"/>
      <c r="R124" s="75">
        <f>O124+P124+Q124</f>
        <v>135824.5</v>
      </c>
    </row>
    <row r="125" spans="1:18" ht="12.75">
      <c r="A125" s="8" t="s">
        <v>70</v>
      </c>
      <c r="B125" s="8"/>
      <c r="C125" s="48">
        <v>44406.7</v>
      </c>
      <c r="D125" s="48"/>
      <c r="E125" s="48"/>
      <c r="F125" s="48">
        <f aca="true" t="shared" si="33" ref="F125:F141">C125+D125+E125</f>
        <v>44406.7</v>
      </c>
      <c r="G125" s="48">
        <v>876.8</v>
      </c>
      <c r="H125" s="48"/>
      <c r="I125" s="48">
        <f aca="true" t="shared" si="34" ref="I125:I141">F125+G125+H125</f>
        <v>45283.5</v>
      </c>
      <c r="J125" s="48">
        <v>52</v>
      </c>
      <c r="K125" s="48"/>
      <c r="L125" s="48">
        <f aca="true" t="shared" si="35" ref="L125:L141">I125+J125+K125</f>
        <v>45335.5</v>
      </c>
      <c r="M125" s="48"/>
      <c r="N125" s="48"/>
      <c r="O125" s="48">
        <f aca="true" t="shared" si="36" ref="O125:O141">L125+M125+N125</f>
        <v>45335.5</v>
      </c>
      <c r="P125" s="75"/>
      <c r="Q125" s="75"/>
      <c r="R125" s="75">
        <f aca="true" t="shared" si="37" ref="R125:R141">O125+P125+Q125</f>
        <v>45335.5</v>
      </c>
    </row>
    <row r="126" spans="1:18" ht="12.75">
      <c r="A126" s="8" t="s">
        <v>78</v>
      </c>
      <c r="B126" s="8"/>
      <c r="C126" s="48">
        <v>200</v>
      </c>
      <c r="D126" s="48"/>
      <c r="E126" s="48"/>
      <c r="F126" s="48">
        <f t="shared" si="33"/>
        <v>200</v>
      </c>
      <c r="G126" s="48"/>
      <c r="H126" s="48"/>
      <c r="I126" s="48">
        <f t="shared" si="34"/>
        <v>200</v>
      </c>
      <c r="J126" s="48"/>
      <c r="K126" s="48"/>
      <c r="L126" s="48">
        <f t="shared" si="35"/>
        <v>200</v>
      </c>
      <c r="M126" s="48"/>
      <c r="N126" s="48"/>
      <c r="O126" s="48">
        <f t="shared" si="36"/>
        <v>200</v>
      </c>
      <c r="P126" s="75"/>
      <c r="Q126" s="75"/>
      <c r="R126" s="75">
        <f t="shared" si="37"/>
        <v>200</v>
      </c>
    </row>
    <row r="127" spans="1:18" ht="12.75">
      <c r="A127" s="8" t="s">
        <v>72</v>
      </c>
      <c r="B127" s="8"/>
      <c r="C127" s="48">
        <v>39437.5</v>
      </c>
      <c r="D127" s="48"/>
      <c r="E127" s="48"/>
      <c r="F127" s="48">
        <f t="shared" si="33"/>
        <v>39437.5</v>
      </c>
      <c r="G127" s="48">
        <f>600+2000</f>
        <v>2600</v>
      </c>
      <c r="H127" s="48"/>
      <c r="I127" s="48">
        <f t="shared" si="34"/>
        <v>42037.5</v>
      </c>
      <c r="J127" s="48">
        <f>-203-56.3+498</f>
        <v>238.7</v>
      </c>
      <c r="K127" s="48"/>
      <c r="L127" s="48">
        <f t="shared" si="35"/>
        <v>42276.2</v>
      </c>
      <c r="M127" s="48"/>
      <c r="N127" s="48"/>
      <c r="O127" s="48">
        <f t="shared" si="36"/>
        <v>42276.2</v>
      </c>
      <c r="P127" s="75">
        <v>181.5</v>
      </c>
      <c r="Q127" s="75"/>
      <c r="R127" s="75">
        <f t="shared" si="37"/>
        <v>42457.7</v>
      </c>
    </row>
    <row r="128" spans="1:18" ht="12.75">
      <c r="A128" s="8" t="s">
        <v>79</v>
      </c>
      <c r="B128" s="60" t="s">
        <v>326</v>
      </c>
      <c r="C128" s="48">
        <v>152</v>
      </c>
      <c r="D128" s="48"/>
      <c r="E128" s="48"/>
      <c r="F128" s="48">
        <f t="shared" si="33"/>
        <v>152</v>
      </c>
      <c r="G128" s="48"/>
      <c r="H128" s="48"/>
      <c r="I128" s="48">
        <f t="shared" si="34"/>
        <v>152</v>
      </c>
      <c r="J128" s="48"/>
      <c r="K128" s="48"/>
      <c r="L128" s="48">
        <f t="shared" si="35"/>
        <v>152</v>
      </c>
      <c r="M128" s="48"/>
      <c r="N128" s="48"/>
      <c r="O128" s="48">
        <f t="shared" si="36"/>
        <v>152</v>
      </c>
      <c r="P128" s="75"/>
      <c r="Q128" s="75"/>
      <c r="R128" s="75">
        <f t="shared" si="37"/>
        <v>152</v>
      </c>
    </row>
    <row r="129" spans="1:18" ht="12.75">
      <c r="A129" s="8" t="s">
        <v>80</v>
      </c>
      <c r="B129" s="60" t="s">
        <v>365</v>
      </c>
      <c r="C129" s="48">
        <v>70503.7</v>
      </c>
      <c r="D129" s="48"/>
      <c r="E129" s="48"/>
      <c r="F129" s="48">
        <f t="shared" si="33"/>
        <v>70503.7</v>
      </c>
      <c r="G129" s="48"/>
      <c r="H129" s="48"/>
      <c r="I129" s="48">
        <f t="shared" si="34"/>
        <v>70503.7</v>
      </c>
      <c r="J129" s="48"/>
      <c r="K129" s="48"/>
      <c r="L129" s="48">
        <f t="shared" si="35"/>
        <v>70503.7</v>
      </c>
      <c r="M129" s="48"/>
      <c r="N129" s="48"/>
      <c r="O129" s="48">
        <f t="shared" si="36"/>
        <v>70503.7</v>
      </c>
      <c r="P129" s="75"/>
      <c r="Q129" s="75"/>
      <c r="R129" s="75">
        <f t="shared" si="37"/>
        <v>70503.7</v>
      </c>
    </row>
    <row r="130" spans="1:18" ht="12.75">
      <c r="A130" s="8" t="s">
        <v>103</v>
      </c>
      <c r="B130" s="60"/>
      <c r="C130" s="48">
        <v>150</v>
      </c>
      <c r="D130" s="48"/>
      <c r="E130" s="48"/>
      <c r="F130" s="48">
        <f t="shared" si="33"/>
        <v>150</v>
      </c>
      <c r="G130" s="48">
        <v>1258.1</v>
      </c>
      <c r="H130" s="48"/>
      <c r="I130" s="48">
        <f t="shared" si="34"/>
        <v>1408.1</v>
      </c>
      <c r="J130" s="48">
        <v>80</v>
      </c>
      <c r="K130" s="48"/>
      <c r="L130" s="48">
        <f t="shared" si="35"/>
        <v>1488.1</v>
      </c>
      <c r="M130" s="48"/>
      <c r="N130" s="48"/>
      <c r="O130" s="48">
        <f t="shared" si="36"/>
        <v>1488.1</v>
      </c>
      <c r="P130" s="75"/>
      <c r="Q130" s="75"/>
      <c r="R130" s="75">
        <f t="shared" si="37"/>
        <v>1488.1</v>
      </c>
    </row>
    <row r="131" spans="1:18" ht="12.75">
      <c r="A131" s="8" t="s">
        <v>298</v>
      </c>
      <c r="B131" s="61">
        <v>2600</v>
      </c>
      <c r="C131" s="48"/>
      <c r="D131" s="48"/>
      <c r="E131" s="48"/>
      <c r="F131" s="48">
        <f t="shared" si="33"/>
        <v>0</v>
      </c>
      <c r="G131" s="48">
        <v>21.1</v>
      </c>
      <c r="H131" s="48"/>
      <c r="I131" s="48">
        <f t="shared" si="34"/>
        <v>21.1</v>
      </c>
      <c r="J131" s="48"/>
      <c r="K131" s="48"/>
      <c r="L131" s="48">
        <f t="shared" si="35"/>
        <v>21.1</v>
      </c>
      <c r="M131" s="48"/>
      <c r="N131" s="48"/>
      <c r="O131" s="48">
        <f t="shared" si="36"/>
        <v>21.1</v>
      </c>
      <c r="P131" s="75"/>
      <c r="Q131" s="75"/>
      <c r="R131" s="75">
        <f t="shared" si="37"/>
        <v>21.1</v>
      </c>
    </row>
    <row r="132" spans="1:18" ht="12.75">
      <c r="A132" s="8" t="s">
        <v>198</v>
      </c>
      <c r="B132" s="61"/>
      <c r="C132" s="48"/>
      <c r="D132" s="48"/>
      <c r="E132" s="48"/>
      <c r="F132" s="48">
        <f t="shared" si="33"/>
        <v>0</v>
      </c>
      <c r="G132" s="48"/>
      <c r="H132" s="48"/>
      <c r="I132" s="48">
        <f t="shared" si="34"/>
        <v>0</v>
      </c>
      <c r="J132" s="48">
        <v>52.7</v>
      </c>
      <c r="K132" s="48"/>
      <c r="L132" s="48">
        <f t="shared" si="35"/>
        <v>52.7</v>
      </c>
      <c r="M132" s="48"/>
      <c r="N132" s="48"/>
      <c r="O132" s="48">
        <f t="shared" si="36"/>
        <v>52.7</v>
      </c>
      <c r="P132" s="75"/>
      <c r="Q132" s="75"/>
      <c r="R132" s="75">
        <f t="shared" si="37"/>
        <v>52.7</v>
      </c>
    </row>
    <row r="133" spans="1:18" ht="12.75">
      <c r="A133" s="8" t="s">
        <v>299</v>
      </c>
      <c r="B133" s="61">
        <v>1800</v>
      </c>
      <c r="C133" s="48"/>
      <c r="D133" s="48"/>
      <c r="E133" s="48"/>
      <c r="F133" s="48">
        <f t="shared" si="33"/>
        <v>0</v>
      </c>
      <c r="G133" s="48">
        <v>463.1</v>
      </c>
      <c r="H133" s="48"/>
      <c r="I133" s="48">
        <f t="shared" si="34"/>
        <v>463.1</v>
      </c>
      <c r="J133" s="48">
        <v>453.1</v>
      </c>
      <c r="K133" s="48"/>
      <c r="L133" s="48">
        <f t="shared" si="35"/>
        <v>916.2</v>
      </c>
      <c r="M133" s="48"/>
      <c r="N133" s="48"/>
      <c r="O133" s="48">
        <f t="shared" si="36"/>
        <v>916.2</v>
      </c>
      <c r="P133" s="75"/>
      <c r="Q133" s="75"/>
      <c r="R133" s="75">
        <f t="shared" si="37"/>
        <v>916.2</v>
      </c>
    </row>
    <row r="134" spans="1:18" ht="12.75">
      <c r="A134" s="17" t="s">
        <v>230</v>
      </c>
      <c r="B134" s="62"/>
      <c r="C134" s="48"/>
      <c r="D134" s="48"/>
      <c r="E134" s="48"/>
      <c r="F134" s="48">
        <f t="shared" si="33"/>
        <v>0</v>
      </c>
      <c r="G134" s="48"/>
      <c r="H134" s="48"/>
      <c r="I134" s="48">
        <f t="shared" si="34"/>
        <v>0</v>
      </c>
      <c r="J134" s="48"/>
      <c r="K134" s="48"/>
      <c r="L134" s="48">
        <f t="shared" si="35"/>
        <v>0</v>
      </c>
      <c r="M134" s="48">
        <v>2323.9</v>
      </c>
      <c r="N134" s="48"/>
      <c r="O134" s="48">
        <f t="shared" si="36"/>
        <v>2323.9</v>
      </c>
      <c r="P134" s="75"/>
      <c r="Q134" s="75"/>
      <c r="R134" s="75">
        <f t="shared" si="37"/>
        <v>2323.9</v>
      </c>
    </row>
    <row r="135" spans="1:18" ht="12.75">
      <c r="A135" s="17" t="s">
        <v>300</v>
      </c>
      <c r="B135" s="62">
        <v>3200</v>
      </c>
      <c r="C135" s="48"/>
      <c r="D135" s="48"/>
      <c r="E135" s="48"/>
      <c r="F135" s="48">
        <f t="shared" si="33"/>
        <v>0</v>
      </c>
      <c r="G135" s="48">
        <v>761.1</v>
      </c>
      <c r="H135" s="48"/>
      <c r="I135" s="48">
        <f t="shared" si="34"/>
        <v>761.1</v>
      </c>
      <c r="J135" s="48"/>
      <c r="K135" s="48"/>
      <c r="L135" s="48">
        <f t="shared" si="35"/>
        <v>761.1</v>
      </c>
      <c r="M135" s="48"/>
      <c r="N135" s="48"/>
      <c r="O135" s="48">
        <f t="shared" si="36"/>
        <v>761.1</v>
      </c>
      <c r="P135" s="75"/>
      <c r="Q135" s="75"/>
      <c r="R135" s="75">
        <f t="shared" si="37"/>
        <v>761.1</v>
      </c>
    </row>
    <row r="136" spans="1:18" ht="12.75" hidden="1">
      <c r="A136" s="8" t="s">
        <v>81</v>
      </c>
      <c r="B136" s="8"/>
      <c r="C136" s="48"/>
      <c r="D136" s="48"/>
      <c r="E136" s="48"/>
      <c r="F136" s="48">
        <f t="shared" si="33"/>
        <v>0</v>
      </c>
      <c r="G136" s="48"/>
      <c r="H136" s="48"/>
      <c r="I136" s="48">
        <f t="shared" si="34"/>
        <v>0</v>
      </c>
      <c r="J136" s="48"/>
      <c r="K136" s="48"/>
      <c r="L136" s="48">
        <f t="shared" si="35"/>
        <v>0</v>
      </c>
      <c r="M136" s="48"/>
      <c r="N136" s="48"/>
      <c r="O136" s="48">
        <f t="shared" si="36"/>
        <v>0</v>
      </c>
      <c r="P136" s="75"/>
      <c r="Q136" s="75"/>
      <c r="R136" s="75">
        <f t="shared" si="37"/>
        <v>0</v>
      </c>
    </row>
    <row r="137" spans="1:18" ht="12.75">
      <c r="A137" s="8" t="s">
        <v>82</v>
      </c>
      <c r="B137" s="60">
        <v>98074</v>
      </c>
      <c r="C137" s="48"/>
      <c r="D137" s="48"/>
      <c r="E137" s="48"/>
      <c r="F137" s="48">
        <f t="shared" si="33"/>
        <v>0</v>
      </c>
      <c r="G137" s="48"/>
      <c r="H137" s="48"/>
      <c r="I137" s="48">
        <f t="shared" si="34"/>
        <v>0</v>
      </c>
      <c r="J137" s="48">
        <v>15</v>
      </c>
      <c r="K137" s="48"/>
      <c r="L137" s="48">
        <f t="shared" si="35"/>
        <v>15</v>
      </c>
      <c r="M137" s="48">
        <v>15</v>
      </c>
      <c r="N137" s="48"/>
      <c r="O137" s="48">
        <f t="shared" si="36"/>
        <v>30</v>
      </c>
      <c r="P137" s="75"/>
      <c r="Q137" s="75"/>
      <c r="R137" s="75">
        <f t="shared" si="37"/>
        <v>30</v>
      </c>
    </row>
    <row r="138" spans="1:18" ht="12.75" hidden="1">
      <c r="A138" s="8" t="s">
        <v>83</v>
      </c>
      <c r="B138" s="60"/>
      <c r="C138" s="48"/>
      <c r="D138" s="48"/>
      <c r="E138" s="48"/>
      <c r="F138" s="48">
        <f t="shared" si="33"/>
        <v>0</v>
      </c>
      <c r="G138" s="48"/>
      <c r="H138" s="48"/>
      <c r="I138" s="48">
        <f t="shared" si="34"/>
        <v>0</v>
      </c>
      <c r="J138" s="48"/>
      <c r="K138" s="48"/>
      <c r="L138" s="48">
        <f t="shared" si="35"/>
        <v>0</v>
      </c>
      <c r="M138" s="48"/>
      <c r="N138" s="48"/>
      <c r="O138" s="48">
        <f t="shared" si="36"/>
        <v>0</v>
      </c>
      <c r="P138" s="75"/>
      <c r="Q138" s="75"/>
      <c r="R138" s="75">
        <f t="shared" si="37"/>
        <v>0</v>
      </c>
    </row>
    <row r="139" spans="1:18" ht="12.75">
      <c r="A139" s="8" t="s">
        <v>382</v>
      </c>
      <c r="B139" s="6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>
        <f t="shared" si="36"/>
        <v>0</v>
      </c>
      <c r="P139" s="75">
        <v>100</v>
      </c>
      <c r="Q139" s="75"/>
      <c r="R139" s="75">
        <f t="shared" si="37"/>
        <v>100</v>
      </c>
    </row>
    <row r="140" spans="1:18" ht="12.75">
      <c r="A140" s="8" t="s">
        <v>295</v>
      </c>
      <c r="B140" s="60">
        <v>98008</v>
      </c>
      <c r="C140" s="48"/>
      <c r="D140" s="48"/>
      <c r="E140" s="48"/>
      <c r="F140" s="48">
        <f t="shared" si="33"/>
        <v>0</v>
      </c>
      <c r="G140" s="48">
        <v>100</v>
      </c>
      <c r="H140" s="48"/>
      <c r="I140" s="48">
        <f t="shared" si="34"/>
        <v>100</v>
      </c>
      <c r="J140" s="48"/>
      <c r="K140" s="48"/>
      <c r="L140" s="48">
        <f t="shared" si="35"/>
        <v>100</v>
      </c>
      <c r="M140" s="48"/>
      <c r="N140" s="48"/>
      <c r="O140" s="48">
        <f t="shared" si="36"/>
        <v>100</v>
      </c>
      <c r="P140" s="75">
        <v>-52.9</v>
      </c>
      <c r="Q140" s="75"/>
      <c r="R140" s="75">
        <f t="shared" si="37"/>
        <v>47.1</v>
      </c>
    </row>
    <row r="141" spans="1:18" ht="12.75">
      <c r="A141" s="8" t="s">
        <v>84</v>
      </c>
      <c r="B141" s="61" t="s">
        <v>341</v>
      </c>
      <c r="C141" s="48"/>
      <c r="D141" s="48"/>
      <c r="E141" s="48"/>
      <c r="F141" s="48">
        <f t="shared" si="33"/>
        <v>0</v>
      </c>
      <c r="G141" s="48"/>
      <c r="H141" s="48"/>
      <c r="I141" s="48">
        <f t="shared" si="34"/>
        <v>0</v>
      </c>
      <c r="J141" s="48">
        <v>250</v>
      </c>
      <c r="K141" s="48"/>
      <c r="L141" s="48">
        <f t="shared" si="35"/>
        <v>250</v>
      </c>
      <c r="M141" s="48"/>
      <c r="N141" s="48"/>
      <c r="O141" s="48">
        <f t="shared" si="36"/>
        <v>250</v>
      </c>
      <c r="P141" s="75"/>
      <c r="Q141" s="75"/>
      <c r="R141" s="75">
        <f t="shared" si="37"/>
        <v>250</v>
      </c>
    </row>
    <row r="142" spans="1:18" ht="12.75">
      <c r="A142" s="14" t="s">
        <v>75</v>
      </c>
      <c r="B142" s="14"/>
      <c r="C142" s="51">
        <f aca="true" t="shared" si="38" ref="C142:R142">C147+C144+C145+C146</f>
        <v>0</v>
      </c>
      <c r="D142" s="51">
        <f t="shared" si="38"/>
        <v>0</v>
      </c>
      <c r="E142" s="51">
        <f t="shared" si="38"/>
        <v>0</v>
      </c>
      <c r="F142" s="51">
        <f t="shared" si="38"/>
        <v>0</v>
      </c>
      <c r="G142" s="51">
        <f t="shared" si="38"/>
        <v>1120</v>
      </c>
      <c r="H142" s="51">
        <f t="shared" si="38"/>
        <v>0</v>
      </c>
      <c r="I142" s="51">
        <f t="shared" si="38"/>
        <v>1120</v>
      </c>
      <c r="J142" s="51">
        <f t="shared" si="38"/>
        <v>509.90000000000003</v>
      </c>
      <c r="K142" s="51">
        <f t="shared" si="38"/>
        <v>0</v>
      </c>
      <c r="L142" s="51">
        <f t="shared" si="38"/>
        <v>1629.9</v>
      </c>
      <c r="M142" s="51">
        <f t="shared" si="38"/>
        <v>32131.2</v>
      </c>
      <c r="N142" s="51">
        <f t="shared" si="38"/>
        <v>0</v>
      </c>
      <c r="O142" s="51">
        <f t="shared" si="38"/>
        <v>33761.1</v>
      </c>
      <c r="P142" s="51">
        <f t="shared" si="38"/>
        <v>548.1</v>
      </c>
      <c r="Q142" s="51">
        <f t="shared" si="38"/>
        <v>0</v>
      </c>
      <c r="R142" s="51">
        <f t="shared" si="38"/>
        <v>34309.200000000004</v>
      </c>
    </row>
    <row r="143" spans="1:18" ht="12.75">
      <c r="A143" s="10" t="s">
        <v>38</v>
      </c>
      <c r="B143" s="10"/>
      <c r="C143" s="48"/>
      <c r="D143" s="48"/>
      <c r="E143" s="48"/>
      <c r="F143" s="47"/>
      <c r="G143" s="48"/>
      <c r="H143" s="48"/>
      <c r="I143" s="47"/>
      <c r="J143" s="48"/>
      <c r="K143" s="48"/>
      <c r="L143" s="47"/>
      <c r="M143" s="48"/>
      <c r="N143" s="48"/>
      <c r="O143" s="47"/>
      <c r="P143" s="75"/>
      <c r="Q143" s="75"/>
      <c r="R143" s="75"/>
    </row>
    <row r="144" spans="1:18" ht="12.75">
      <c r="A144" s="7" t="s">
        <v>76</v>
      </c>
      <c r="B144" s="7"/>
      <c r="C144" s="48"/>
      <c r="D144" s="48"/>
      <c r="E144" s="48"/>
      <c r="F144" s="48">
        <f>C144+D144+E144</f>
        <v>0</v>
      </c>
      <c r="G144" s="48">
        <v>1120</v>
      </c>
      <c r="H144" s="48"/>
      <c r="I144" s="48">
        <f>F144+G144+H144</f>
        <v>1120</v>
      </c>
      <c r="J144" s="48">
        <f>56.3</f>
        <v>56.3</v>
      </c>
      <c r="K144" s="48"/>
      <c r="L144" s="48">
        <f>I144+J144+K144</f>
        <v>1176.3</v>
      </c>
      <c r="M144" s="48"/>
      <c r="N144" s="48"/>
      <c r="O144" s="48">
        <f>L144+M144+N144</f>
        <v>1176.3</v>
      </c>
      <c r="P144" s="75"/>
      <c r="Q144" s="75"/>
      <c r="R144" s="75">
        <f>O144+P144+Q144</f>
        <v>1176.3</v>
      </c>
    </row>
    <row r="145" spans="1:18" ht="12.75" hidden="1">
      <c r="A145" s="17" t="s">
        <v>364</v>
      </c>
      <c r="B145" s="7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>
        <f>L145+M145+N145</f>
        <v>0</v>
      </c>
      <c r="P145" s="75"/>
      <c r="Q145" s="75"/>
      <c r="R145" s="75">
        <f>O145+P145+Q145</f>
        <v>0</v>
      </c>
    </row>
    <row r="146" spans="1:18" ht="12.75" hidden="1">
      <c r="A146" s="17" t="s">
        <v>366</v>
      </c>
      <c r="B146" s="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>
        <f>L146+M146+N146</f>
        <v>0</v>
      </c>
      <c r="P146" s="75"/>
      <c r="Q146" s="75"/>
      <c r="R146" s="75">
        <f>O146+P146+Q146</f>
        <v>0</v>
      </c>
    </row>
    <row r="147" spans="1:18" ht="12.75">
      <c r="A147" s="11" t="s">
        <v>104</v>
      </c>
      <c r="B147" s="11"/>
      <c r="C147" s="52"/>
      <c r="D147" s="52"/>
      <c r="E147" s="52"/>
      <c r="F147" s="52">
        <f>C147+D147+E147</f>
        <v>0</v>
      </c>
      <c r="G147" s="52"/>
      <c r="H147" s="52"/>
      <c r="I147" s="52">
        <f>F147+G147+H147</f>
        <v>0</v>
      </c>
      <c r="J147" s="52">
        <f>453.6</f>
        <v>453.6</v>
      </c>
      <c r="K147" s="52"/>
      <c r="L147" s="52">
        <f>I147+J147+K147</f>
        <v>453.6</v>
      </c>
      <c r="M147" s="52">
        <f>2280+29851.2</f>
        <v>32131.2</v>
      </c>
      <c r="N147" s="52"/>
      <c r="O147" s="52">
        <f>L147+M147+N147</f>
        <v>32584.8</v>
      </c>
      <c r="P147" s="85">
        <f>363+185.1</f>
        <v>548.1</v>
      </c>
      <c r="Q147" s="85"/>
      <c r="R147" s="85">
        <f>O147+P147+Q147</f>
        <v>33132.9</v>
      </c>
    </row>
    <row r="148" spans="1:18" ht="12.75">
      <c r="A148" s="5" t="s">
        <v>85</v>
      </c>
      <c r="B148" s="5"/>
      <c r="C148" s="47">
        <f aca="true" t="shared" si="39" ref="C148:O148">C149+C158</f>
        <v>108810</v>
      </c>
      <c r="D148" s="47">
        <f t="shared" si="39"/>
        <v>-45000</v>
      </c>
      <c r="E148" s="47">
        <f t="shared" si="39"/>
        <v>0</v>
      </c>
      <c r="F148" s="47">
        <f t="shared" si="39"/>
        <v>63810</v>
      </c>
      <c r="G148" s="47">
        <f t="shared" si="39"/>
        <v>6564.5</v>
      </c>
      <c r="H148" s="47">
        <f t="shared" si="39"/>
        <v>0</v>
      </c>
      <c r="I148" s="47">
        <f t="shared" si="39"/>
        <v>70374.5</v>
      </c>
      <c r="J148" s="47">
        <f t="shared" si="39"/>
        <v>3976.8000000000006</v>
      </c>
      <c r="K148" s="47">
        <f t="shared" si="39"/>
        <v>18000.6</v>
      </c>
      <c r="L148" s="47">
        <f t="shared" si="39"/>
        <v>92351.9</v>
      </c>
      <c r="M148" s="47">
        <f t="shared" si="39"/>
        <v>5556.7</v>
      </c>
      <c r="N148" s="47">
        <f t="shared" si="39"/>
        <v>0</v>
      </c>
      <c r="O148" s="47">
        <f t="shared" si="39"/>
        <v>97908.6</v>
      </c>
      <c r="P148" s="47">
        <f>P149+P158</f>
        <v>1046.4</v>
      </c>
      <c r="Q148" s="47">
        <f>Q149+Q158</f>
        <v>0</v>
      </c>
      <c r="R148" s="47">
        <f>R149+R158</f>
        <v>98955</v>
      </c>
    </row>
    <row r="149" spans="1:18" ht="12.75">
      <c r="A149" s="14" t="s">
        <v>69</v>
      </c>
      <c r="B149" s="14"/>
      <c r="C149" s="51">
        <f aca="true" t="shared" si="40" ref="C149:O149">SUM(C151:C156)</f>
        <v>63810</v>
      </c>
      <c r="D149" s="51">
        <f t="shared" si="40"/>
        <v>-45000</v>
      </c>
      <c r="E149" s="51">
        <f t="shared" si="40"/>
        <v>0</v>
      </c>
      <c r="F149" s="51">
        <f t="shared" si="40"/>
        <v>18810</v>
      </c>
      <c r="G149" s="51">
        <f t="shared" si="40"/>
        <v>1564.5</v>
      </c>
      <c r="H149" s="51">
        <f t="shared" si="40"/>
        <v>0</v>
      </c>
      <c r="I149" s="51">
        <f t="shared" si="40"/>
        <v>20374.5</v>
      </c>
      <c r="J149" s="51">
        <f t="shared" si="40"/>
        <v>4116.400000000001</v>
      </c>
      <c r="K149" s="51">
        <f t="shared" si="40"/>
        <v>-1238.8</v>
      </c>
      <c r="L149" s="51">
        <f t="shared" si="40"/>
        <v>23252.1</v>
      </c>
      <c r="M149" s="51">
        <f t="shared" si="40"/>
        <v>56.7</v>
      </c>
      <c r="N149" s="51">
        <f t="shared" si="40"/>
        <v>0</v>
      </c>
      <c r="O149" s="51">
        <f t="shared" si="40"/>
        <v>23308.8</v>
      </c>
      <c r="P149" s="51">
        <f>SUM(P151:P156)</f>
        <v>2130.9</v>
      </c>
      <c r="Q149" s="51">
        <f>SUM(Q151:Q156)</f>
        <v>0</v>
      </c>
      <c r="R149" s="51">
        <f>SUM(R151:R156)</f>
        <v>25439.7</v>
      </c>
    </row>
    <row r="150" spans="1:18" ht="12.75">
      <c r="A150" s="10" t="s">
        <v>38</v>
      </c>
      <c r="B150" s="10"/>
      <c r="C150" s="48"/>
      <c r="D150" s="48"/>
      <c r="E150" s="48"/>
      <c r="F150" s="47"/>
      <c r="G150" s="48"/>
      <c r="H150" s="48"/>
      <c r="I150" s="47"/>
      <c r="J150" s="48"/>
      <c r="K150" s="48"/>
      <c r="L150" s="47"/>
      <c r="M150" s="48"/>
      <c r="N150" s="48"/>
      <c r="O150" s="47"/>
      <c r="P150" s="75"/>
      <c r="Q150" s="75"/>
      <c r="R150" s="75"/>
    </row>
    <row r="151" spans="1:18" ht="12" customHeight="1">
      <c r="A151" s="12" t="s">
        <v>258</v>
      </c>
      <c r="B151" s="12"/>
      <c r="C151" s="48">
        <v>45000</v>
      </c>
      <c r="D151" s="48">
        <v>-45000</v>
      </c>
      <c r="E151" s="48"/>
      <c r="F151" s="48">
        <f>C151+D151+E151</f>
        <v>0</v>
      </c>
      <c r="G151" s="48"/>
      <c r="H151" s="48"/>
      <c r="I151" s="48">
        <f>F151+G151+H151</f>
        <v>0</v>
      </c>
      <c r="J151" s="48"/>
      <c r="K151" s="48"/>
      <c r="L151" s="48">
        <f>I151+J151+K151</f>
        <v>0</v>
      </c>
      <c r="M151" s="48"/>
      <c r="N151" s="48"/>
      <c r="O151" s="48">
        <f>L151+M151+N151</f>
        <v>0</v>
      </c>
      <c r="P151" s="75"/>
      <c r="Q151" s="75"/>
      <c r="R151" s="75">
        <f>O151+P151+Q151</f>
        <v>0</v>
      </c>
    </row>
    <row r="152" spans="1:18" ht="12.75">
      <c r="A152" s="8" t="s">
        <v>72</v>
      </c>
      <c r="B152" s="8"/>
      <c r="C152" s="48">
        <v>18810</v>
      </c>
      <c r="D152" s="48"/>
      <c r="E152" s="48"/>
      <c r="F152" s="48">
        <f aca="true" t="shared" si="41" ref="F152:F157">C152+D152+E152</f>
        <v>18810</v>
      </c>
      <c r="G152" s="48"/>
      <c r="H152" s="48"/>
      <c r="I152" s="48">
        <f aca="true" t="shared" si="42" ref="I152:I157">F152+G152+H152</f>
        <v>18810</v>
      </c>
      <c r="J152" s="48"/>
      <c r="K152" s="48">
        <f>-1124.5-910-1250</f>
        <v>-3284.5</v>
      </c>
      <c r="L152" s="48">
        <f aca="true" t="shared" si="43" ref="L152:L157">I152+J152+K152</f>
        <v>15525.5</v>
      </c>
      <c r="M152" s="48"/>
      <c r="N152" s="48"/>
      <c r="O152" s="48">
        <f aca="true" t="shared" si="44" ref="O152:O157">L152+M152+N152</f>
        <v>15525.5</v>
      </c>
      <c r="P152" s="75"/>
      <c r="Q152" s="75"/>
      <c r="R152" s="75">
        <f aca="true" t="shared" si="45" ref="R152:R157">O152+P152+Q152</f>
        <v>15525.5</v>
      </c>
    </row>
    <row r="153" spans="1:18" ht="12.75">
      <c r="A153" s="8" t="s">
        <v>87</v>
      </c>
      <c r="B153" s="8"/>
      <c r="C153" s="48"/>
      <c r="D153" s="48"/>
      <c r="E153" s="48"/>
      <c r="F153" s="48">
        <f t="shared" si="41"/>
        <v>0</v>
      </c>
      <c r="G153" s="48"/>
      <c r="H153" s="48"/>
      <c r="I153" s="48">
        <f t="shared" si="42"/>
        <v>0</v>
      </c>
      <c r="J153" s="48"/>
      <c r="K153" s="48">
        <f>1124.5+910</f>
        <v>2034.5</v>
      </c>
      <c r="L153" s="48">
        <f t="shared" si="43"/>
        <v>2034.5</v>
      </c>
      <c r="M153" s="48"/>
      <c r="N153" s="48"/>
      <c r="O153" s="48">
        <f t="shared" si="44"/>
        <v>2034.5</v>
      </c>
      <c r="P153" s="75"/>
      <c r="Q153" s="75"/>
      <c r="R153" s="75">
        <f t="shared" si="45"/>
        <v>2034.5</v>
      </c>
    </row>
    <row r="154" spans="1:18" ht="12.75">
      <c r="A154" s="8" t="s">
        <v>88</v>
      </c>
      <c r="B154" s="8">
        <v>98278</v>
      </c>
      <c r="C154" s="48"/>
      <c r="D154" s="48"/>
      <c r="E154" s="48"/>
      <c r="F154" s="48">
        <f t="shared" si="41"/>
        <v>0</v>
      </c>
      <c r="G154" s="48">
        <v>20.1</v>
      </c>
      <c r="H154" s="48"/>
      <c r="I154" s="48">
        <f t="shared" si="42"/>
        <v>20.1</v>
      </c>
      <c r="J154" s="48">
        <f>353.6+92.9+764.7</f>
        <v>1211.2</v>
      </c>
      <c r="K154" s="48"/>
      <c r="L154" s="48">
        <f t="shared" si="43"/>
        <v>1231.3</v>
      </c>
      <c r="M154" s="48">
        <v>56.7</v>
      </c>
      <c r="N154" s="48"/>
      <c r="O154" s="48">
        <f t="shared" si="44"/>
        <v>1288</v>
      </c>
      <c r="P154" s="75">
        <v>20.7</v>
      </c>
      <c r="Q154" s="75"/>
      <c r="R154" s="75">
        <f t="shared" si="45"/>
        <v>1308.7</v>
      </c>
    </row>
    <row r="155" spans="1:18" ht="12.75">
      <c r="A155" s="8" t="s">
        <v>103</v>
      </c>
      <c r="B155" s="8"/>
      <c r="C155" s="48"/>
      <c r="D155" s="48"/>
      <c r="E155" s="48"/>
      <c r="F155" s="48">
        <f t="shared" si="41"/>
        <v>0</v>
      </c>
      <c r="G155" s="48">
        <v>1544.4</v>
      </c>
      <c r="H155" s="48"/>
      <c r="I155" s="48">
        <f t="shared" si="42"/>
        <v>1544.4</v>
      </c>
      <c r="J155" s="48">
        <v>2765.6</v>
      </c>
      <c r="K155" s="48"/>
      <c r="L155" s="48">
        <f t="shared" si="43"/>
        <v>4310</v>
      </c>
      <c r="M155" s="48"/>
      <c r="N155" s="48"/>
      <c r="O155" s="48">
        <f t="shared" si="44"/>
        <v>4310</v>
      </c>
      <c r="P155" s="75">
        <f>775.2+250.5</f>
        <v>1025.7</v>
      </c>
      <c r="Q155" s="75"/>
      <c r="R155" s="75">
        <f t="shared" si="45"/>
        <v>5335.7</v>
      </c>
    </row>
    <row r="156" spans="1:18" ht="12.75">
      <c r="A156" s="7" t="s">
        <v>90</v>
      </c>
      <c r="B156" s="7"/>
      <c r="C156" s="48"/>
      <c r="D156" s="48"/>
      <c r="E156" s="48"/>
      <c r="F156" s="48">
        <f t="shared" si="41"/>
        <v>0</v>
      </c>
      <c r="G156" s="48"/>
      <c r="H156" s="48"/>
      <c r="I156" s="48">
        <f t="shared" si="42"/>
        <v>0</v>
      </c>
      <c r="J156" s="48">
        <v>139.6</v>
      </c>
      <c r="K156" s="48">
        <v>11.2</v>
      </c>
      <c r="L156" s="48">
        <f t="shared" si="43"/>
        <v>150.79999999999998</v>
      </c>
      <c r="M156" s="48"/>
      <c r="N156" s="48"/>
      <c r="O156" s="48">
        <f t="shared" si="44"/>
        <v>150.79999999999998</v>
      </c>
      <c r="P156" s="75">
        <f>917.2+32+135.3</f>
        <v>1084.5</v>
      </c>
      <c r="Q156" s="75"/>
      <c r="R156" s="75">
        <f t="shared" si="45"/>
        <v>1235.3</v>
      </c>
    </row>
    <row r="157" spans="1:18" ht="12.75">
      <c r="A157" s="16" t="s">
        <v>91</v>
      </c>
      <c r="B157" s="16"/>
      <c r="C157" s="52"/>
      <c r="D157" s="52"/>
      <c r="E157" s="52"/>
      <c r="F157" s="52">
        <f t="shared" si="41"/>
        <v>0</v>
      </c>
      <c r="G157" s="52"/>
      <c r="H157" s="52"/>
      <c r="I157" s="52">
        <f t="shared" si="42"/>
        <v>0</v>
      </c>
      <c r="J157" s="52">
        <v>139.6</v>
      </c>
      <c r="K157" s="52">
        <v>11.2</v>
      </c>
      <c r="L157" s="52">
        <f t="shared" si="43"/>
        <v>150.79999999999998</v>
      </c>
      <c r="M157" s="52"/>
      <c r="N157" s="52"/>
      <c r="O157" s="52">
        <f t="shared" si="44"/>
        <v>150.79999999999998</v>
      </c>
      <c r="P157" s="85">
        <f>917.2+32+135.3</f>
        <v>1084.5</v>
      </c>
      <c r="Q157" s="85"/>
      <c r="R157" s="85">
        <f t="shared" si="45"/>
        <v>1235.3</v>
      </c>
    </row>
    <row r="158" spans="1:18" ht="12.75">
      <c r="A158" s="15" t="s">
        <v>75</v>
      </c>
      <c r="B158" s="15"/>
      <c r="C158" s="53">
        <f aca="true" t="shared" si="46" ref="C158:R158">SUM(C160:C163)</f>
        <v>45000</v>
      </c>
      <c r="D158" s="53">
        <f t="shared" si="46"/>
        <v>0</v>
      </c>
      <c r="E158" s="53">
        <f t="shared" si="46"/>
        <v>0</v>
      </c>
      <c r="F158" s="53">
        <f t="shared" si="46"/>
        <v>45000</v>
      </c>
      <c r="G158" s="53">
        <f t="shared" si="46"/>
        <v>5000</v>
      </c>
      <c r="H158" s="53">
        <f t="shared" si="46"/>
        <v>0</v>
      </c>
      <c r="I158" s="53">
        <f t="shared" si="46"/>
        <v>50000</v>
      </c>
      <c r="J158" s="53">
        <f t="shared" si="46"/>
        <v>-139.6</v>
      </c>
      <c r="K158" s="53">
        <f t="shared" si="46"/>
        <v>19239.399999999998</v>
      </c>
      <c r="L158" s="53">
        <f t="shared" si="46"/>
        <v>69099.8</v>
      </c>
      <c r="M158" s="53">
        <f t="shared" si="46"/>
        <v>5500</v>
      </c>
      <c r="N158" s="53">
        <f t="shared" si="46"/>
        <v>0</v>
      </c>
      <c r="O158" s="53">
        <f t="shared" si="46"/>
        <v>74599.8</v>
      </c>
      <c r="P158" s="53">
        <f t="shared" si="46"/>
        <v>-1084.5</v>
      </c>
      <c r="Q158" s="53">
        <f t="shared" si="46"/>
        <v>0</v>
      </c>
      <c r="R158" s="53">
        <f t="shared" si="46"/>
        <v>73515.3</v>
      </c>
    </row>
    <row r="159" spans="1:18" ht="12.75">
      <c r="A159" s="6" t="s">
        <v>38</v>
      </c>
      <c r="B159" s="6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75"/>
      <c r="Q159" s="75"/>
      <c r="R159" s="75"/>
    </row>
    <row r="160" spans="1:18" ht="12.75">
      <c r="A160" s="7" t="s">
        <v>92</v>
      </c>
      <c r="B160" s="7"/>
      <c r="C160" s="48"/>
      <c r="D160" s="48"/>
      <c r="E160" s="48"/>
      <c r="F160" s="48">
        <f>C160+D160+E160</f>
        <v>0</v>
      </c>
      <c r="G160" s="48">
        <v>5000</v>
      </c>
      <c r="H160" s="48"/>
      <c r="I160" s="48">
        <f>F160+G160+H160</f>
        <v>5000</v>
      </c>
      <c r="J160" s="48"/>
      <c r="K160" s="48">
        <v>1250</v>
      </c>
      <c r="L160" s="48">
        <f>I160+J160+K160</f>
        <v>6250</v>
      </c>
      <c r="M160" s="48">
        <v>5500</v>
      </c>
      <c r="N160" s="48"/>
      <c r="O160" s="48">
        <f>L160+M160+N160</f>
        <v>11750</v>
      </c>
      <c r="P160" s="75"/>
      <c r="Q160" s="75"/>
      <c r="R160" s="75">
        <f>O160+P160+Q160</f>
        <v>11750</v>
      </c>
    </row>
    <row r="161" spans="1:18" ht="12.75" hidden="1">
      <c r="A161" s="7" t="s">
        <v>76</v>
      </c>
      <c r="B161" s="7"/>
      <c r="C161" s="48"/>
      <c r="D161" s="48"/>
      <c r="E161" s="48"/>
      <c r="F161" s="48">
        <f>C161+D161+E161</f>
        <v>0</v>
      </c>
      <c r="G161" s="48"/>
      <c r="H161" s="48"/>
      <c r="I161" s="48">
        <f>F161+G161+H161</f>
        <v>0</v>
      </c>
      <c r="J161" s="48"/>
      <c r="K161" s="48"/>
      <c r="L161" s="48">
        <f>I161+J161+K161</f>
        <v>0</v>
      </c>
      <c r="M161" s="48"/>
      <c r="N161" s="48"/>
      <c r="O161" s="48">
        <f>L161+M161+N161</f>
        <v>0</v>
      </c>
      <c r="P161" s="75"/>
      <c r="Q161" s="75"/>
      <c r="R161" s="75">
        <f>O161+P161+Q161</f>
        <v>0</v>
      </c>
    </row>
    <row r="162" spans="1:18" ht="12.75" hidden="1">
      <c r="A162" s="8" t="s">
        <v>103</v>
      </c>
      <c r="B162" s="8"/>
      <c r="C162" s="48"/>
      <c r="D162" s="48"/>
      <c r="E162" s="48"/>
      <c r="F162" s="48">
        <f>C162+D162+E162</f>
        <v>0</v>
      </c>
      <c r="G162" s="48"/>
      <c r="H162" s="48"/>
      <c r="I162" s="48">
        <f>F162+G162+H162</f>
        <v>0</v>
      </c>
      <c r="J162" s="48"/>
      <c r="K162" s="48"/>
      <c r="L162" s="48">
        <f>I162+J162+K162</f>
        <v>0</v>
      </c>
      <c r="M162" s="48"/>
      <c r="N162" s="48"/>
      <c r="O162" s="48">
        <f>L162+M162+N162</f>
        <v>0</v>
      </c>
      <c r="P162" s="75"/>
      <c r="Q162" s="75"/>
      <c r="R162" s="75">
        <f>O162+P162+Q162</f>
        <v>0</v>
      </c>
    </row>
    <row r="163" spans="1:18" ht="12.75">
      <c r="A163" s="7" t="s">
        <v>90</v>
      </c>
      <c r="B163" s="7"/>
      <c r="C163" s="48">
        <v>45000</v>
      </c>
      <c r="D163" s="48"/>
      <c r="E163" s="48"/>
      <c r="F163" s="48">
        <f>C163+D163+E163</f>
        <v>45000</v>
      </c>
      <c r="G163" s="48"/>
      <c r="H163" s="48"/>
      <c r="I163" s="48">
        <f>F163+G163+H163</f>
        <v>45000</v>
      </c>
      <c r="J163" s="48">
        <v>-139.6</v>
      </c>
      <c r="K163" s="48">
        <f>-11.2+18000.6</f>
        <v>17989.399999999998</v>
      </c>
      <c r="L163" s="48">
        <f>I163+J163+K163</f>
        <v>62849.8</v>
      </c>
      <c r="M163" s="48"/>
      <c r="N163" s="48"/>
      <c r="O163" s="48">
        <f>L163+M163+N163</f>
        <v>62849.8</v>
      </c>
      <c r="P163" s="75">
        <f>-917.2-32-135.3</f>
        <v>-1084.5</v>
      </c>
      <c r="Q163" s="75"/>
      <c r="R163" s="75">
        <f>O163+P163+Q163</f>
        <v>61765.3</v>
      </c>
    </row>
    <row r="164" spans="1:18" ht="12.75">
      <c r="A164" s="16" t="s">
        <v>93</v>
      </c>
      <c r="B164" s="16"/>
      <c r="C164" s="52"/>
      <c r="D164" s="52"/>
      <c r="E164" s="52"/>
      <c r="F164" s="52">
        <f>C164+D164+E164</f>
        <v>0</v>
      </c>
      <c r="G164" s="52"/>
      <c r="H164" s="52"/>
      <c r="I164" s="52">
        <f>F164+G164+H164</f>
        <v>0</v>
      </c>
      <c r="J164" s="52">
        <v>248</v>
      </c>
      <c r="K164" s="52">
        <v>18545</v>
      </c>
      <c r="L164" s="52">
        <f>I164+J164+K164</f>
        <v>18793</v>
      </c>
      <c r="M164" s="52"/>
      <c r="N164" s="52"/>
      <c r="O164" s="52">
        <f>L164+M164+N164</f>
        <v>18793</v>
      </c>
      <c r="P164" s="85">
        <v>8700</v>
      </c>
      <c r="Q164" s="85"/>
      <c r="R164" s="85">
        <f>O164+P164+Q164</f>
        <v>27493</v>
      </c>
    </row>
    <row r="165" spans="1:18" ht="12.75">
      <c r="A165" s="9" t="s">
        <v>94</v>
      </c>
      <c r="B165" s="9"/>
      <c r="C165" s="49">
        <f aca="true" t="shared" si="47" ref="C165:O165">C166+C171</f>
        <v>10174</v>
      </c>
      <c r="D165" s="49">
        <f t="shared" si="47"/>
        <v>0</v>
      </c>
      <c r="E165" s="49">
        <f t="shared" si="47"/>
        <v>0</v>
      </c>
      <c r="F165" s="49">
        <f t="shared" si="47"/>
        <v>10174</v>
      </c>
      <c r="G165" s="49">
        <f t="shared" si="47"/>
        <v>1673</v>
      </c>
      <c r="H165" s="49">
        <f t="shared" si="47"/>
        <v>-1250</v>
      </c>
      <c r="I165" s="49">
        <f t="shared" si="47"/>
        <v>10597</v>
      </c>
      <c r="J165" s="49">
        <f t="shared" si="47"/>
        <v>0</v>
      </c>
      <c r="K165" s="49">
        <f t="shared" si="47"/>
        <v>0</v>
      </c>
      <c r="L165" s="49">
        <f t="shared" si="47"/>
        <v>10597</v>
      </c>
      <c r="M165" s="49">
        <f t="shared" si="47"/>
        <v>0</v>
      </c>
      <c r="N165" s="49">
        <f t="shared" si="47"/>
        <v>0</v>
      </c>
      <c r="O165" s="49">
        <f t="shared" si="47"/>
        <v>10597</v>
      </c>
      <c r="P165" s="49">
        <f>P166+P171</f>
        <v>0</v>
      </c>
      <c r="Q165" s="49">
        <f>Q166+Q171</f>
        <v>0</v>
      </c>
      <c r="R165" s="49">
        <f>R166+R171</f>
        <v>10597</v>
      </c>
    </row>
    <row r="166" spans="1:18" ht="12.75">
      <c r="A166" s="14" t="s">
        <v>69</v>
      </c>
      <c r="B166" s="14"/>
      <c r="C166" s="51">
        <f aca="true" t="shared" si="48" ref="C166:O166">SUM(C168:C170)</f>
        <v>10174</v>
      </c>
      <c r="D166" s="51">
        <f t="shared" si="48"/>
        <v>0</v>
      </c>
      <c r="E166" s="51">
        <f t="shared" si="48"/>
        <v>0</v>
      </c>
      <c r="F166" s="51">
        <f t="shared" si="48"/>
        <v>10174</v>
      </c>
      <c r="G166" s="51">
        <f t="shared" si="48"/>
        <v>1373</v>
      </c>
      <c r="H166" s="51">
        <f t="shared" si="48"/>
        <v>-1250</v>
      </c>
      <c r="I166" s="51">
        <f t="shared" si="48"/>
        <v>10297</v>
      </c>
      <c r="J166" s="51">
        <f t="shared" si="48"/>
        <v>0</v>
      </c>
      <c r="K166" s="51">
        <f t="shared" si="48"/>
        <v>0</v>
      </c>
      <c r="L166" s="51">
        <f t="shared" si="48"/>
        <v>10297</v>
      </c>
      <c r="M166" s="51">
        <f t="shared" si="48"/>
        <v>0</v>
      </c>
      <c r="N166" s="51">
        <f t="shared" si="48"/>
        <v>0</v>
      </c>
      <c r="O166" s="51">
        <f t="shared" si="48"/>
        <v>10297</v>
      </c>
      <c r="P166" s="51">
        <f>SUM(P168:P170)</f>
        <v>0</v>
      </c>
      <c r="Q166" s="51">
        <f>SUM(Q168:Q170)</f>
        <v>0</v>
      </c>
      <c r="R166" s="51">
        <f>SUM(R168:R170)</f>
        <v>10297</v>
      </c>
    </row>
    <row r="167" spans="1:18" ht="12.75">
      <c r="A167" s="10" t="s">
        <v>38</v>
      </c>
      <c r="B167" s="10"/>
      <c r="C167" s="48"/>
      <c r="D167" s="48"/>
      <c r="E167" s="48"/>
      <c r="F167" s="47"/>
      <c r="G167" s="48"/>
      <c r="H167" s="48"/>
      <c r="I167" s="47"/>
      <c r="J167" s="48"/>
      <c r="K167" s="48"/>
      <c r="L167" s="47"/>
      <c r="M167" s="48"/>
      <c r="N167" s="48"/>
      <c r="O167" s="47"/>
      <c r="P167" s="75"/>
      <c r="Q167" s="75"/>
      <c r="R167" s="75"/>
    </row>
    <row r="168" spans="1:18" ht="12.75">
      <c r="A168" s="8" t="s">
        <v>72</v>
      </c>
      <c r="B168" s="8"/>
      <c r="C168" s="48">
        <v>10174</v>
      </c>
      <c r="D168" s="48"/>
      <c r="E168" s="48"/>
      <c r="F168" s="48">
        <f>SUM(C168:E168)</f>
        <v>10174</v>
      </c>
      <c r="G168" s="48"/>
      <c r="H168" s="48">
        <v>-1250</v>
      </c>
      <c r="I168" s="48">
        <f>SUM(F168:H168)</f>
        <v>8924</v>
      </c>
      <c r="J168" s="48"/>
      <c r="K168" s="48"/>
      <c r="L168" s="48">
        <f>I168+J168+K168</f>
        <v>8924</v>
      </c>
      <c r="M168" s="48"/>
      <c r="N168" s="48"/>
      <c r="O168" s="48">
        <f>L168+M168+N168</f>
        <v>8924</v>
      </c>
      <c r="P168" s="75"/>
      <c r="Q168" s="75"/>
      <c r="R168" s="75">
        <f>O168+P168+Q168</f>
        <v>8924</v>
      </c>
    </row>
    <row r="169" spans="1:18" ht="12.75">
      <c r="A169" s="12" t="s">
        <v>95</v>
      </c>
      <c r="B169" s="12">
        <v>33166</v>
      </c>
      <c r="C169" s="48"/>
      <c r="D169" s="48"/>
      <c r="E169" s="48"/>
      <c r="F169" s="48">
        <f>SUM(C169:E169)</f>
        <v>0</v>
      </c>
      <c r="G169" s="48">
        <v>1373</v>
      </c>
      <c r="H169" s="48"/>
      <c r="I169" s="48">
        <f>SUM(F169:H169)</f>
        <v>1373</v>
      </c>
      <c r="J169" s="48"/>
      <c r="K169" s="48"/>
      <c r="L169" s="48">
        <f>I169+J169+K169</f>
        <v>1373</v>
      </c>
      <c r="M169" s="48"/>
      <c r="N169" s="48"/>
      <c r="O169" s="48">
        <f>L169+M169+N169</f>
        <v>1373</v>
      </c>
      <c r="P169" s="75"/>
      <c r="Q169" s="75"/>
      <c r="R169" s="75">
        <f>O169+P169+Q169</f>
        <v>1373</v>
      </c>
    </row>
    <row r="170" spans="1:18" ht="12.75" hidden="1">
      <c r="A170" s="12" t="s">
        <v>87</v>
      </c>
      <c r="B170" s="12"/>
      <c r="C170" s="48"/>
      <c r="D170" s="48"/>
      <c r="E170" s="48"/>
      <c r="F170" s="48">
        <f>SUM(C170:E170)</f>
        <v>0</v>
      </c>
      <c r="G170" s="48"/>
      <c r="H170" s="48"/>
      <c r="I170" s="48">
        <f>SUM(F170:H170)</f>
        <v>0</v>
      </c>
      <c r="J170" s="48"/>
      <c r="K170" s="48"/>
      <c r="L170" s="48">
        <f>I170+J170+K170</f>
        <v>0</v>
      </c>
      <c r="M170" s="48"/>
      <c r="N170" s="48"/>
      <c r="O170" s="48">
        <f>L170+M170+N170</f>
        <v>0</v>
      </c>
      <c r="P170" s="75"/>
      <c r="Q170" s="75"/>
      <c r="R170" s="75">
        <f>O170+P170+Q170</f>
        <v>0</v>
      </c>
    </row>
    <row r="171" spans="1:18" ht="12.75">
      <c r="A171" s="14" t="s">
        <v>75</v>
      </c>
      <c r="B171" s="14"/>
      <c r="C171" s="51">
        <f>C174+C173</f>
        <v>0</v>
      </c>
      <c r="D171" s="51">
        <f>D174</f>
        <v>0</v>
      </c>
      <c r="E171" s="51"/>
      <c r="F171" s="51">
        <f>F174+F173</f>
        <v>0</v>
      </c>
      <c r="G171" s="51">
        <f>G174+G173</f>
        <v>300</v>
      </c>
      <c r="H171" s="51">
        <f>H174</f>
        <v>0</v>
      </c>
      <c r="I171" s="51">
        <f aca="true" t="shared" si="49" ref="I171:R171">I174+I173</f>
        <v>300</v>
      </c>
      <c r="J171" s="51">
        <f t="shared" si="49"/>
        <v>0</v>
      </c>
      <c r="K171" s="51">
        <f t="shared" si="49"/>
        <v>0</v>
      </c>
      <c r="L171" s="51">
        <f t="shared" si="49"/>
        <v>300</v>
      </c>
      <c r="M171" s="51">
        <f t="shared" si="49"/>
        <v>0</v>
      </c>
      <c r="N171" s="51">
        <f t="shared" si="49"/>
        <v>0</v>
      </c>
      <c r="O171" s="51">
        <f t="shared" si="49"/>
        <v>300</v>
      </c>
      <c r="P171" s="51">
        <f t="shared" si="49"/>
        <v>0</v>
      </c>
      <c r="Q171" s="51">
        <f t="shared" si="49"/>
        <v>0</v>
      </c>
      <c r="R171" s="51">
        <f t="shared" si="49"/>
        <v>300</v>
      </c>
    </row>
    <row r="172" spans="1:18" ht="12.75">
      <c r="A172" s="10" t="s">
        <v>38</v>
      </c>
      <c r="B172" s="10"/>
      <c r="C172" s="48"/>
      <c r="D172" s="48"/>
      <c r="E172" s="48"/>
      <c r="F172" s="47"/>
      <c r="G172" s="48"/>
      <c r="H172" s="48"/>
      <c r="I172" s="47"/>
      <c r="J172" s="48"/>
      <c r="K172" s="48"/>
      <c r="L172" s="47"/>
      <c r="M172" s="48"/>
      <c r="N172" s="48"/>
      <c r="O172" s="47"/>
      <c r="P172" s="75"/>
      <c r="Q172" s="75"/>
      <c r="R172" s="75"/>
    </row>
    <row r="173" spans="1:18" ht="12.75">
      <c r="A173" s="11" t="s">
        <v>306</v>
      </c>
      <c r="B173" s="11"/>
      <c r="C173" s="52"/>
      <c r="D173" s="52"/>
      <c r="E173" s="52"/>
      <c r="F173" s="52">
        <f>C173+D173+E173</f>
        <v>0</v>
      </c>
      <c r="G173" s="52">
        <v>300</v>
      </c>
      <c r="H173" s="52"/>
      <c r="I173" s="52">
        <f>SUM(F173:H173)</f>
        <v>300</v>
      </c>
      <c r="J173" s="52"/>
      <c r="K173" s="52"/>
      <c r="L173" s="52">
        <f>I173+J173+K173</f>
        <v>300</v>
      </c>
      <c r="M173" s="52"/>
      <c r="N173" s="52"/>
      <c r="O173" s="52">
        <f>L173+M173+N173</f>
        <v>300</v>
      </c>
      <c r="P173" s="85"/>
      <c r="Q173" s="85"/>
      <c r="R173" s="85">
        <f>O173+P173+Q173</f>
        <v>300</v>
      </c>
    </row>
    <row r="174" spans="1:18" ht="12.75" hidden="1">
      <c r="A174" s="11" t="s">
        <v>89</v>
      </c>
      <c r="B174" s="11"/>
      <c r="C174" s="52"/>
      <c r="D174" s="52"/>
      <c r="E174" s="52"/>
      <c r="F174" s="52">
        <f>SUM(C174:E174)</f>
        <v>0</v>
      </c>
      <c r="G174" s="52"/>
      <c r="H174" s="52"/>
      <c r="I174" s="52">
        <f>SUM(F174:H174)</f>
        <v>0</v>
      </c>
      <c r="J174" s="52"/>
      <c r="K174" s="52"/>
      <c r="L174" s="52">
        <f>I174+J174+K174</f>
        <v>0</v>
      </c>
      <c r="M174" s="52"/>
      <c r="N174" s="52"/>
      <c r="O174" s="52">
        <f>L174+M174+N174</f>
        <v>0</v>
      </c>
      <c r="P174" s="75"/>
      <c r="Q174" s="75"/>
      <c r="R174" s="85">
        <f>O174+P174+Q174</f>
        <v>0</v>
      </c>
    </row>
    <row r="175" spans="1:18" ht="12.75">
      <c r="A175" s="5" t="s">
        <v>96</v>
      </c>
      <c r="B175" s="5"/>
      <c r="C175" s="47">
        <f aca="true" t="shared" si="50" ref="C175:O175">C176+C188</f>
        <v>1108760</v>
      </c>
      <c r="D175" s="47">
        <f t="shared" si="50"/>
        <v>-11000</v>
      </c>
      <c r="E175" s="47">
        <f t="shared" si="50"/>
        <v>6673</v>
      </c>
      <c r="F175" s="47">
        <f t="shared" si="50"/>
        <v>1104433</v>
      </c>
      <c r="G175" s="47">
        <f t="shared" si="50"/>
        <v>23308.2</v>
      </c>
      <c r="H175" s="47">
        <f t="shared" si="50"/>
        <v>0</v>
      </c>
      <c r="I175" s="47">
        <f t="shared" si="50"/>
        <v>1127741.2000000002</v>
      </c>
      <c r="J175" s="47">
        <f t="shared" si="50"/>
        <v>256762.9</v>
      </c>
      <c r="K175" s="47">
        <f t="shared" si="50"/>
        <v>0</v>
      </c>
      <c r="L175" s="47">
        <f t="shared" si="50"/>
        <v>1384504.1</v>
      </c>
      <c r="M175" s="47">
        <f t="shared" si="50"/>
        <v>76134.3</v>
      </c>
      <c r="N175" s="47">
        <f t="shared" si="50"/>
        <v>0</v>
      </c>
      <c r="O175" s="47">
        <f t="shared" si="50"/>
        <v>1460638.4</v>
      </c>
      <c r="P175" s="47">
        <f>P176+P188</f>
        <v>4640.7</v>
      </c>
      <c r="Q175" s="47">
        <f>Q176+Q188</f>
        <v>0</v>
      </c>
      <c r="R175" s="47">
        <f>R176+R188</f>
        <v>1465279.0999999999</v>
      </c>
    </row>
    <row r="176" spans="1:18" ht="12.75">
      <c r="A176" s="14" t="s">
        <v>69</v>
      </c>
      <c r="B176" s="14"/>
      <c r="C176" s="51">
        <f aca="true" t="shared" si="51" ref="C176:O176">SUM(C179:C187)</f>
        <v>1094760</v>
      </c>
      <c r="D176" s="51">
        <f t="shared" si="51"/>
        <v>3000</v>
      </c>
      <c r="E176" s="51">
        <f t="shared" si="51"/>
        <v>6673</v>
      </c>
      <c r="F176" s="51">
        <f t="shared" si="51"/>
        <v>1104433</v>
      </c>
      <c r="G176" s="51">
        <f t="shared" si="51"/>
        <v>20008.2</v>
      </c>
      <c r="H176" s="51">
        <f t="shared" si="51"/>
        <v>0</v>
      </c>
      <c r="I176" s="51">
        <f t="shared" si="51"/>
        <v>1124441.2000000002</v>
      </c>
      <c r="J176" s="51">
        <f t="shared" si="51"/>
        <v>256762.9</v>
      </c>
      <c r="K176" s="51">
        <f t="shared" si="51"/>
        <v>0</v>
      </c>
      <c r="L176" s="51">
        <f t="shared" si="51"/>
        <v>1381204.1</v>
      </c>
      <c r="M176" s="51">
        <f t="shared" si="51"/>
        <v>76134.3</v>
      </c>
      <c r="N176" s="51">
        <f t="shared" si="51"/>
        <v>0</v>
      </c>
      <c r="O176" s="51">
        <f t="shared" si="51"/>
        <v>1457338.4</v>
      </c>
      <c r="P176" s="51">
        <f>SUM(P179:P187)</f>
        <v>4550</v>
      </c>
      <c r="Q176" s="51">
        <f>SUM(Q179:Q187)</f>
        <v>0</v>
      </c>
      <c r="R176" s="51">
        <f>SUM(R179:R187)</f>
        <v>1461888.4</v>
      </c>
    </row>
    <row r="177" spans="1:18" ht="12.75">
      <c r="A177" s="10" t="s">
        <v>38</v>
      </c>
      <c r="B177" s="10"/>
      <c r="C177" s="48"/>
      <c r="D177" s="48"/>
      <c r="E177" s="48"/>
      <c r="F177" s="47"/>
      <c r="G177" s="48"/>
      <c r="H177" s="48"/>
      <c r="I177" s="47"/>
      <c r="J177" s="48"/>
      <c r="K177" s="48"/>
      <c r="L177" s="47"/>
      <c r="M177" s="48"/>
      <c r="N177" s="48"/>
      <c r="O177" s="47"/>
      <c r="P177" s="75"/>
      <c r="Q177" s="75"/>
      <c r="R177" s="75"/>
    </row>
    <row r="178" spans="1:18" ht="12.75">
      <c r="A178" s="12" t="s">
        <v>97</v>
      </c>
      <c r="B178" s="12"/>
      <c r="C178" s="48">
        <f>C179+C180</f>
        <v>629800</v>
      </c>
      <c r="D178" s="48">
        <f>D179+D180</f>
        <v>3000</v>
      </c>
      <c r="E178" s="48">
        <f>E179+E180</f>
        <v>6673</v>
      </c>
      <c r="F178" s="48">
        <f>F179+F180</f>
        <v>639473</v>
      </c>
      <c r="G178" s="48">
        <f>G179+G180</f>
        <v>20007.8</v>
      </c>
      <c r="H178" s="48"/>
      <c r="I178" s="48">
        <f>I179+I180</f>
        <v>659480.8</v>
      </c>
      <c r="J178" s="48"/>
      <c r="K178" s="48"/>
      <c r="L178" s="48">
        <f>L179+L180</f>
        <v>661640.7</v>
      </c>
      <c r="M178" s="48">
        <f>M179+M180</f>
        <v>358.8</v>
      </c>
      <c r="N178" s="48"/>
      <c r="O178" s="48">
        <f>O179+O180</f>
        <v>661999.5</v>
      </c>
      <c r="P178" s="75">
        <f>P179+P180</f>
        <v>4864.4</v>
      </c>
      <c r="Q178" s="48">
        <f>Q179+Q180</f>
        <v>0</v>
      </c>
      <c r="R178" s="75">
        <f>R179+R180</f>
        <v>666863.9</v>
      </c>
    </row>
    <row r="179" spans="1:18" ht="12.75">
      <c r="A179" s="12" t="s">
        <v>98</v>
      </c>
      <c r="B179" s="12"/>
      <c r="C179" s="48">
        <v>266800</v>
      </c>
      <c r="D179" s="48">
        <v>3000</v>
      </c>
      <c r="E179" s="48"/>
      <c r="F179" s="48">
        <f aca="true" t="shared" si="52" ref="F179:F187">C179+D179+E179</f>
        <v>269800</v>
      </c>
      <c r="G179" s="48">
        <f>20000+7.8</f>
        <v>20007.8</v>
      </c>
      <c r="H179" s="63"/>
      <c r="I179" s="48">
        <f aca="true" t="shared" si="53" ref="I179:I187">F179+G179+H179</f>
        <v>289807.8</v>
      </c>
      <c r="J179" s="48">
        <v>2159.9</v>
      </c>
      <c r="K179" s="48"/>
      <c r="L179" s="48">
        <f aca="true" t="shared" si="54" ref="L179:L187">I179+J179+K179</f>
        <v>291967.7</v>
      </c>
      <c r="M179" s="48">
        <v>358.8</v>
      </c>
      <c r="N179" s="48"/>
      <c r="O179" s="48">
        <f aca="true" t="shared" si="55" ref="O179:O187">L179+M179+N179</f>
        <v>292326.5</v>
      </c>
      <c r="P179" s="75">
        <f>11.9+2095+2500+2352.5</f>
        <v>6959.4</v>
      </c>
      <c r="Q179" s="75"/>
      <c r="R179" s="75">
        <f aca="true" t="shared" si="56" ref="R179:R187">O179+P179+Q179</f>
        <v>299285.9</v>
      </c>
    </row>
    <row r="180" spans="1:18" ht="12.75">
      <c r="A180" s="8" t="s">
        <v>99</v>
      </c>
      <c r="B180" s="8"/>
      <c r="C180" s="48">
        <v>363000</v>
      </c>
      <c r="D180" s="48"/>
      <c r="E180" s="48">
        <v>6673</v>
      </c>
      <c r="F180" s="48">
        <f t="shared" si="52"/>
        <v>369673</v>
      </c>
      <c r="G180" s="63"/>
      <c r="H180" s="63"/>
      <c r="I180" s="48">
        <f t="shared" si="53"/>
        <v>369673</v>
      </c>
      <c r="J180" s="48"/>
      <c r="K180" s="48"/>
      <c r="L180" s="48">
        <f t="shared" si="54"/>
        <v>369673</v>
      </c>
      <c r="M180" s="48"/>
      <c r="N180" s="48"/>
      <c r="O180" s="48">
        <f t="shared" si="55"/>
        <v>369673</v>
      </c>
      <c r="P180" s="75">
        <f>-2095</f>
        <v>-2095</v>
      </c>
      <c r="Q180" s="75"/>
      <c r="R180" s="75">
        <f t="shared" si="56"/>
        <v>367578</v>
      </c>
    </row>
    <row r="181" spans="1:18" ht="12.75">
      <c r="A181" s="12" t="s">
        <v>100</v>
      </c>
      <c r="B181" s="12"/>
      <c r="C181" s="48">
        <v>22000</v>
      </c>
      <c r="D181" s="48"/>
      <c r="E181" s="48"/>
      <c r="F181" s="48">
        <f t="shared" si="52"/>
        <v>22000</v>
      </c>
      <c r="G181" s="48"/>
      <c r="H181" s="48"/>
      <c r="I181" s="48">
        <f t="shared" si="53"/>
        <v>22000</v>
      </c>
      <c r="J181" s="48"/>
      <c r="K181" s="48"/>
      <c r="L181" s="48">
        <f t="shared" si="54"/>
        <v>22000</v>
      </c>
      <c r="M181" s="48"/>
      <c r="N181" s="48"/>
      <c r="O181" s="48">
        <f t="shared" si="55"/>
        <v>22000</v>
      </c>
      <c r="P181" s="75">
        <v>-2500</v>
      </c>
      <c r="Q181" s="75"/>
      <c r="R181" s="75">
        <f t="shared" si="56"/>
        <v>19500</v>
      </c>
    </row>
    <row r="182" spans="1:18" ht="12.75">
      <c r="A182" s="8" t="s">
        <v>101</v>
      </c>
      <c r="B182" s="8"/>
      <c r="C182" s="48">
        <v>9410</v>
      </c>
      <c r="D182" s="48"/>
      <c r="E182" s="48"/>
      <c r="F182" s="48">
        <f t="shared" si="52"/>
        <v>9410</v>
      </c>
      <c r="G182" s="48"/>
      <c r="H182" s="48"/>
      <c r="I182" s="48">
        <f t="shared" si="53"/>
        <v>9410</v>
      </c>
      <c r="J182" s="48"/>
      <c r="K182" s="48"/>
      <c r="L182" s="48">
        <f t="shared" si="54"/>
        <v>9410</v>
      </c>
      <c r="M182" s="48"/>
      <c r="N182" s="48"/>
      <c r="O182" s="48">
        <f t="shared" si="55"/>
        <v>9410</v>
      </c>
      <c r="P182" s="75">
        <v>-2352.5</v>
      </c>
      <c r="Q182" s="75"/>
      <c r="R182" s="75">
        <f t="shared" si="56"/>
        <v>7057.5</v>
      </c>
    </row>
    <row r="183" spans="1:18" ht="12.75" hidden="1">
      <c r="A183" s="8" t="s">
        <v>102</v>
      </c>
      <c r="B183" s="8"/>
      <c r="C183" s="48"/>
      <c r="D183" s="48"/>
      <c r="E183" s="48"/>
      <c r="F183" s="48">
        <f t="shared" si="52"/>
        <v>0</v>
      </c>
      <c r="G183" s="48"/>
      <c r="H183" s="48"/>
      <c r="I183" s="48">
        <f t="shared" si="53"/>
        <v>0</v>
      </c>
      <c r="J183" s="48"/>
      <c r="K183" s="48"/>
      <c r="L183" s="48">
        <f t="shared" si="54"/>
        <v>0</v>
      </c>
      <c r="M183" s="48"/>
      <c r="N183" s="48"/>
      <c r="O183" s="48">
        <f t="shared" si="55"/>
        <v>0</v>
      </c>
      <c r="P183" s="75"/>
      <c r="Q183" s="75"/>
      <c r="R183" s="75">
        <f t="shared" si="56"/>
        <v>0</v>
      </c>
    </row>
    <row r="184" spans="1:18" ht="12.75">
      <c r="A184" s="8" t="s">
        <v>191</v>
      </c>
      <c r="B184" s="8">
        <v>27355</v>
      </c>
      <c r="C184" s="48"/>
      <c r="D184" s="48"/>
      <c r="E184" s="48"/>
      <c r="F184" s="48">
        <f t="shared" si="52"/>
        <v>0</v>
      </c>
      <c r="G184" s="48"/>
      <c r="H184" s="48"/>
      <c r="I184" s="48">
        <f t="shared" si="53"/>
        <v>0</v>
      </c>
      <c r="J184" s="48">
        <v>254603</v>
      </c>
      <c r="K184" s="48"/>
      <c r="L184" s="48">
        <f t="shared" si="54"/>
        <v>254603</v>
      </c>
      <c r="M184" s="48"/>
      <c r="N184" s="48"/>
      <c r="O184" s="48">
        <f t="shared" si="55"/>
        <v>254603</v>
      </c>
      <c r="P184" s="75"/>
      <c r="Q184" s="75"/>
      <c r="R184" s="75">
        <f t="shared" si="56"/>
        <v>254603</v>
      </c>
    </row>
    <row r="185" spans="1:18" ht="12.75">
      <c r="A185" s="8" t="s">
        <v>361</v>
      </c>
      <c r="B185" s="8">
        <v>91252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>
        <f t="shared" si="54"/>
        <v>0</v>
      </c>
      <c r="M185" s="48">
        <v>65793</v>
      </c>
      <c r="N185" s="48"/>
      <c r="O185" s="48">
        <f t="shared" si="55"/>
        <v>65793</v>
      </c>
      <c r="P185" s="75"/>
      <c r="Q185" s="75"/>
      <c r="R185" s="75">
        <f t="shared" si="56"/>
        <v>65793</v>
      </c>
    </row>
    <row r="186" spans="1:18" ht="12.75">
      <c r="A186" s="8" t="s">
        <v>72</v>
      </c>
      <c r="B186" s="8"/>
      <c r="C186" s="48">
        <v>433550</v>
      </c>
      <c r="D186" s="48"/>
      <c r="E186" s="48"/>
      <c r="F186" s="48">
        <f t="shared" si="52"/>
        <v>433550</v>
      </c>
      <c r="G186" s="48">
        <v>0.4</v>
      </c>
      <c r="H186" s="48"/>
      <c r="I186" s="48">
        <f t="shared" si="53"/>
        <v>433550.4</v>
      </c>
      <c r="J186" s="48"/>
      <c r="K186" s="48"/>
      <c r="L186" s="48">
        <f t="shared" si="54"/>
        <v>433550.4</v>
      </c>
      <c r="M186" s="48">
        <f>10198.6+130-346.1</f>
        <v>9982.5</v>
      </c>
      <c r="N186" s="48"/>
      <c r="O186" s="48">
        <f t="shared" si="55"/>
        <v>443532.9</v>
      </c>
      <c r="P186" s="75">
        <f>26-90.7+4602.8</f>
        <v>4538.1</v>
      </c>
      <c r="Q186" s="75"/>
      <c r="R186" s="75">
        <f t="shared" si="56"/>
        <v>448071</v>
      </c>
    </row>
    <row r="187" spans="1:18" ht="12" customHeight="1" hidden="1">
      <c r="A187" s="8" t="s">
        <v>103</v>
      </c>
      <c r="B187" s="8"/>
      <c r="C187" s="48"/>
      <c r="D187" s="48"/>
      <c r="E187" s="48"/>
      <c r="F187" s="63">
        <f t="shared" si="52"/>
        <v>0</v>
      </c>
      <c r="G187" s="48"/>
      <c r="H187" s="48"/>
      <c r="I187" s="48">
        <f t="shared" si="53"/>
        <v>0</v>
      </c>
      <c r="J187" s="48"/>
      <c r="K187" s="48"/>
      <c r="L187" s="48">
        <f t="shared" si="54"/>
        <v>0</v>
      </c>
      <c r="M187" s="48"/>
      <c r="N187" s="48"/>
      <c r="O187" s="48">
        <f t="shared" si="55"/>
        <v>0</v>
      </c>
      <c r="P187" s="75"/>
      <c r="Q187" s="75"/>
      <c r="R187" s="75">
        <f t="shared" si="56"/>
        <v>0</v>
      </c>
    </row>
    <row r="188" spans="1:18" ht="12.75">
      <c r="A188" s="15" t="s">
        <v>75</v>
      </c>
      <c r="B188" s="15"/>
      <c r="C188" s="53">
        <f aca="true" t="shared" si="57" ref="C188:R188">SUM(C190:C196)</f>
        <v>14000</v>
      </c>
      <c r="D188" s="53">
        <f t="shared" si="57"/>
        <v>-14000</v>
      </c>
      <c r="E188" s="53">
        <f t="shared" si="57"/>
        <v>0</v>
      </c>
      <c r="F188" s="53">
        <f t="shared" si="57"/>
        <v>0</v>
      </c>
      <c r="G188" s="53">
        <f t="shared" si="57"/>
        <v>3300</v>
      </c>
      <c r="H188" s="53">
        <f t="shared" si="57"/>
        <v>0</v>
      </c>
      <c r="I188" s="53">
        <f t="shared" si="57"/>
        <v>3300</v>
      </c>
      <c r="J188" s="53">
        <f t="shared" si="57"/>
        <v>0</v>
      </c>
      <c r="K188" s="53">
        <f t="shared" si="57"/>
        <v>0</v>
      </c>
      <c r="L188" s="53">
        <f t="shared" si="57"/>
        <v>3300</v>
      </c>
      <c r="M188" s="53">
        <f t="shared" si="57"/>
        <v>0</v>
      </c>
      <c r="N188" s="53">
        <f t="shared" si="57"/>
        <v>0</v>
      </c>
      <c r="O188" s="53">
        <f t="shared" si="57"/>
        <v>3300</v>
      </c>
      <c r="P188" s="53">
        <f t="shared" si="57"/>
        <v>90.7</v>
      </c>
      <c r="Q188" s="53">
        <f t="shared" si="57"/>
        <v>0</v>
      </c>
      <c r="R188" s="53">
        <f t="shared" si="57"/>
        <v>3390.7</v>
      </c>
    </row>
    <row r="189" spans="1:18" ht="12.75">
      <c r="A189" s="6" t="s">
        <v>38</v>
      </c>
      <c r="B189" s="6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75"/>
      <c r="Q189" s="75"/>
      <c r="R189" s="75"/>
    </row>
    <row r="190" spans="1:18" ht="12.75">
      <c r="A190" s="7" t="s">
        <v>76</v>
      </c>
      <c r="B190" s="7"/>
      <c r="C190" s="48">
        <v>14000</v>
      </c>
      <c r="D190" s="48">
        <v>-14000</v>
      </c>
      <c r="E190" s="48"/>
      <c r="F190" s="48">
        <f aca="true" t="shared" si="58" ref="F190:F196">C190+D190+E190</f>
        <v>0</v>
      </c>
      <c r="G190" s="48"/>
      <c r="H190" s="48"/>
      <c r="I190" s="48">
        <f aca="true" t="shared" si="59" ref="I190:I196">F190+G190+H190</f>
        <v>0</v>
      </c>
      <c r="J190" s="48"/>
      <c r="K190" s="48"/>
      <c r="L190" s="48">
        <f aca="true" t="shared" si="60" ref="L190:L196">I190+J190+K190</f>
        <v>0</v>
      </c>
      <c r="M190" s="48"/>
      <c r="N190" s="48"/>
      <c r="O190" s="48">
        <f aca="true" t="shared" si="61" ref="O190:O196">L190+M190+N190</f>
        <v>0</v>
      </c>
      <c r="P190" s="75"/>
      <c r="Q190" s="75"/>
      <c r="R190" s="75">
        <f aca="true" t="shared" si="62" ref="R190:R196">O190+P190+Q190</f>
        <v>0</v>
      </c>
    </row>
    <row r="191" spans="1:18" ht="12.75">
      <c r="A191" s="8" t="s">
        <v>391</v>
      </c>
      <c r="B191" s="7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75">
        <v>90.7</v>
      </c>
      <c r="Q191" s="75"/>
      <c r="R191" s="75">
        <f t="shared" si="62"/>
        <v>90.7</v>
      </c>
    </row>
    <row r="192" spans="1:18" ht="12.75">
      <c r="A192" s="11" t="s">
        <v>315</v>
      </c>
      <c r="B192" s="11"/>
      <c r="C192" s="52"/>
      <c r="D192" s="52"/>
      <c r="E192" s="52"/>
      <c r="F192" s="52">
        <f t="shared" si="58"/>
        <v>0</v>
      </c>
      <c r="G192" s="52">
        <v>3300</v>
      </c>
      <c r="H192" s="52"/>
      <c r="I192" s="52">
        <f t="shared" si="59"/>
        <v>3300</v>
      </c>
      <c r="J192" s="52"/>
      <c r="K192" s="52"/>
      <c r="L192" s="52">
        <f t="shared" si="60"/>
        <v>3300</v>
      </c>
      <c r="M192" s="52"/>
      <c r="N192" s="52"/>
      <c r="O192" s="52">
        <f t="shared" si="61"/>
        <v>3300</v>
      </c>
      <c r="P192" s="85"/>
      <c r="Q192" s="85"/>
      <c r="R192" s="85">
        <f t="shared" si="62"/>
        <v>3300</v>
      </c>
    </row>
    <row r="193" spans="1:18" ht="12.75" hidden="1">
      <c r="A193" s="8" t="s">
        <v>105</v>
      </c>
      <c r="B193" s="8"/>
      <c r="C193" s="48"/>
      <c r="D193" s="48"/>
      <c r="E193" s="48"/>
      <c r="F193" s="48">
        <f t="shared" si="58"/>
        <v>0</v>
      </c>
      <c r="G193" s="48"/>
      <c r="H193" s="48"/>
      <c r="I193" s="48">
        <f t="shared" si="59"/>
        <v>0</v>
      </c>
      <c r="J193" s="48"/>
      <c r="K193" s="48"/>
      <c r="L193" s="48">
        <f t="shared" si="60"/>
        <v>0</v>
      </c>
      <c r="M193" s="48"/>
      <c r="N193" s="48"/>
      <c r="O193" s="48">
        <f t="shared" si="61"/>
        <v>0</v>
      </c>
      <c r="P193" s="75"/>
      <c r="Q193" s="75"/>
      <c r="R193" s="75">
        <f t="shared" si="62"/>
        <v>0</v>
      </c>
    </row>
    <row r="194" spans="1:18" ht="12.75" hidden="1">
      <c r="A194" s="8" t="s">
        <v>203</v>
      </c>
      <c r="B194" s="8"/>
      <c r="C194" s="48"/>
      <c r="D194" s="48"/>
      <c r="E194" s="48"/>
      <c r="F194" s="48">
        <f t="shared" si="58"/>
        <v>0</v>
      </c>
      <c r="G194" s="48"/>
      <c r="H194" s="48"/>
      <c r="I194" s="48">
        <f t="shared" si="59"/>
        <v>0</v>
      </c>
      <c r="J194" s="48"/>
      <c r="K194" s="48"/>
      <c r="L194" s="48">
        <f t="shared" si="60"/>
        <v>0</v>
      </c>
      <c r="M194" s="48"/>
      <c r="N194" s="48"/>
      <c r="O194" s="48">
        <f t="shared" si="61"/>
        <v>0</v>
      </c>
      <c r="P194" s="75"/>
      <c r="Q194" s="75"/>
      <c r="R194" s="75">
        <f t="shared" si="62"/>
        <v>0</v>
      </c>
    </row>
    <row r="195" spans="1:18" ht="12.75" hidden="1">
      <c r="A195" s="8" t="s">
        <v>106</v>
      </c>
      <c r="B195" s="8"/>
      <c r="C195" s="48"/>
      <c r="D195" s="48"/>
      <c r="E195" s="48"/>
      <c r="F195" s="48">
        <f t="shared" si="58"/>
        <v>0</v>
      </c>
      <c r="G195" s="48"/>
      <c r="H195" s="48"/>
      <c r="I195" s="48">
        <f t="shared" si="59"/>
        <v>0</v>
      </c>
      <c r="J195" s="48"/>
      <c r="K195" s="48"/>
      <c r="L195" s="48">
        <f t="shared" si="60"/>
        <v>0</v>
      </c>
      <c r="M195" s="55"/>
      <c r="N195" s="48"/>
      <c r="O195" s="48">
        <f t="shared" si="61"/>
        <v>0</v>
      </c>
      <c r="P195" s="75"/>
      <c r="Q195" s="75"/>
      <c r="R195" s="75">
        <f t="shared" si="62"/>
        <v>0</v>
      </c>
    </row>
    <row r="196" spans="1:18" ht="12.75" hidden="1">
      <c r="A196" s="11" t="s">
        <v>102</v>
      </c>
      <c r="B196" s="11"/>
      <c r="C196" s="52"/>
      <c r="D196" s="52"/>
      <c r="E196" s="52"/>
      <c r="F196" s="52">
        <f t="shared" si="58"/>
        <v>0</v>
      </c>
      <c r="G196" s="52"/>
      <c r="H196" s="52"/>
      <c r="I196" s="52">
        <f t="shared" si="59"/>
        <v>0</v>
      </c>
      <c r="J196" s="52"/>
      <c r="K196" s="52"/>
      <c r="L196" s="52">
        <f t="shared" si="60"/>
        <v>0</v>
      </c>
      <c r="M196" s="52"/>
      <c r="N196" s="52"/>
      <c r="O196" s="52">
        <f t="shared" si="61"/>
        <v>0</v>
      </c>
      <c r="P196" s="75"/>
      <c r="Q196" s="75"/>
      <c r="R196" s="75">
        <f t="shared" si="62"/>
        <v>0</v>
      </c>
    </row>
    <row r="197" spans="1:18" ht="12.75">
      <c r="A197" s="5" t="s">
        <v>107</v>
      </c>
      <c r="B197" s="5"/>
      <c r="C197" s="47">
        <f aca="true" t="shared" si="63" ref="C197:O197">C198+C204</f>
        <v>4280</v>
      </c>
      <c r="D197" s="47">
        <f t="shared" si="63"/>
        <v>0</v>
      </c>
      <c r="E197" s="47">
        <f t="shared" si="63"/>
        <v>4089.6</v>
      </c>
      <c r="F197" s="47">
        <f t="shared" si="63"/>
        <v>8369.6</v>
      </c>
      <c r="G197" s="47">
        <f t="shared" si="63"/>
        <v>0</v>
      </c>
      <c r="H197" s="47">
        <f t="shared" si="63"/>
        <v>0</v>
      </c>
      <c r="I197" s="47">
        <f t="shared" si="63"/>
        <v>8369.6</v>
      </c>
      <c r="J197" s="47">
        <f t="shared" si="63"/>
        <v>1224.4</v>
      </c>
      <c r="K197" s="47">
        <f t="shared" si="63"/>
        <v>0</v>
      </c>
      <c r="L197" s="47">
        <f t="shared" si="63"/>
        <v>9594</v>
      </c>
      <c r="M197" s="47">
        <f t="shared" si="63"/>
        <v>2420</v>
      </c>
      <c r="N197" s="47">
        <f t="shared" si="63"/>
        <v>0</v>
      </c>
      <c r="O197" s="47">
        <f t="shared" si="63"/>
        <v>12014</v>
      </c>
      <c r="P197" s="47">
        <f>P198+P204</f>
        <v>446.5</v>
      </c>
      <c r="Q197" s="47">
        <f>Q198+Q204</f>
        <v>0</v>
      </c>
      <c r="R197" s="47">
        <f>R198+R204</f>
        <v>12460.5</v>
      </c>
    </row>
    <row r="198" spans="1:18" ht="12.75">
      <c r="A198" s="14" t="s">
        <v>69</v>
      </c>
      <c r="B198" s="14"/>
      <c r="C198" s="51">
        <f aca="true" t="shared" si="64" ref="C198:O198">SUM(C200:C203)</f>
        <v>4280</v>
      </c>
      <c r="D198" s="51">
        <f t="shared" si="64"/>
        <v>0</v>
      </c>
      <c r="E198" s="51">
        <f t="shared" si="64"/>
        <v>3237.6</v>
      </c>
      <c r="F198" s="51">
        <f t="shared" si="64"/>
        <v>7517.6</v>
      </c>
      <c r="G198" s="51">
        <f t="shared" si="64"/>
        <v>0</v>
      </c>
      <c r="H198" s="51">
        <f t="shared" si="64"/>
        <v>0</v>
      </c>
      <c r="I198" s="51">
        <f t="shared" si="64"/>
        <v>7517.6</v>
      </c>
      <c r="J198" s="51">
        <f t="shared" si="64"/>
        <v>874.4</v>
      </c>
      <c r="K198" s="51">
        <f t="shared" si="64"/>
        <v>0</v>
      </c>
      <c r="L198" s="51">
        <f t="shared" si="64"/>
        <v>8392</v>
      </c>
      <c r="M198" s="51">
        <f t="shared" si="64"/>
        <v>1628</v>
      </c>
      <c r="N198" s="51">
        <f t="shared" si="64"/>
        <v>0</v>
      </c>
      <c r="O198" s="51">
        <f t="shared" si="64"/>
        <v>10020</v>
      </c>
      <c r="P198" s="51">
        <f>SUM(P200:P203)</f>
        <v>446.5</v>
      </c>
      <c r="Q198" s="51">
        <f>SUM(Q200:Q203)</f>
        <v>0</v>
      </c>
      <c r="R198" s="51">
        <f>SUM(R200:R203)</f>
        <v>10466.5</v>
      </c>
    </row>
    <row r="199" spans="1:18" ht="12.75">
      <c r="A199" s="10" t="s">
        <v>38</v>
      </c>
      <c r="B199" s="10"/>
      <c r="C199" s="48"/>
      <c r="D199" s="48"/>
      <c r="E199" s="48"/>
      <c r="F199" s="47"/>
      <c r="G199" s="48"/>
      <c r="H199" s="48"/>
      <c r="I199" s="47"/>
      <c r="J199" s="48"/>
      <c r="K199" s="48"/>
      <c r="L199" s="47"/>
      <c r="M199" s="48"/>
      <c r="N199" s="48"/>
      <c r="O199" s="47"/>
      <c r="P199" s="75"/>
      <c r="Q199" s="75"/>
      <c r="R199" s="75"/>
    </row>
    <row r="200" spans="1:18" ht="12.75">
      <c r="A200" s="8" t="s">
        <v>72</v>
      </c>
      <c r="B200" s="8"/>
      <c r="C200" s="48">
        <v>4280</v>
      </c>
      <c r="D200" s="48"/>
      <c r="E200" s="48"/>
      <c r="F200" s="48">
        <f>C200+D200+E200</f>
        <v>4280</v>
      </c>
      <c r="G200" s="48"/>
      <c r="H200" s="48"/>
      <c r="I200" s="48">
        <f>F200+G200+H200</f>
        <v>4280</v>
      </c>
      <c r="J200" s="48">
        <f>600+74.4</f>
        <v>674.4</v>
      </c>
      <c r="K200" s="48"/>
      <c r="L200" s="48">
        <f>I200+J200+K200</f>
        <v>4954.4</v>
      </c>
      <c r="M200" s="48">
        <f>-6-200+120</f>
        <v>-86</v>
      </c>
      <c r="N200" s="48"/>
      <c r="O200" s="48">
        <f>L200+M200+N200</f>
        <v>4868.4</v>
      </c>
      <c r="P200" s="75">
        <v>446.5</v>
      </c>
      <c r="Q200" s="75"/>
      <c r="R200" s="75">
        <f>O200+P200+Q200</f>
        <v>5314.9</v>
      </c>
    </row>
    <row r="201" spans="1:18" ht="12.75" hidden="1">
      <c r="A201" s="12" t="s">
        <v>100</v>
      </c>
      <c r="B201" s="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>
        <f>L201+M201+N201</f>
        <v>0</v>
      </c>
      <c r="P201" s="75"/>
      <c r="Q201" s="75"/>
      <c r="R201" s="75">
        <f>O201+P201+Q201</f>
        <v>0</v>
      </c>
    </row>
    <row r="202" spans="1:18" ht="12.75">
      <c r="A202" s="8" t="s">
        <v>87</v>
      </c>
      <c r="B202" s="8"/>
      <c r="C202" s="48"/>
      <c r="D202" s="48"/>
      <c r="E202" s="48"/>
      <c r="F202" s="48">
        <f>C202+D202+E202</f>
        <v>0</v>
      </c>
      <c r="G202" s="48"/>
      <c r="H202" s="48"/>
      <c r="I202" s="48"/>
      <c r="J202" s="48">
        <v>200</v>
      </c>
      <c r="K202" s="48"/>
      <c r="L202" s="48">
        <f>I202+J202+K202</f>
        <v>200</v>
      </c>
      <c r="M202" s="48"/>
      <c r="N202" s="48"/>
      <c r="O202" s="48">
        <f>L202+M202+N202</f>
        <v>200</v>
      </c>
      <c r="P202" s="75"/>
      <c r="Q202" s="75"/>
      <c r="R202" s="75">
        <f>O202+P202+Q202</f>
        <v>200</v>
      </c>
    </row>
    <row r="203" spans="1:18" ht="14.25" customHeight="1">
      <c r="A203" s="8" t="s">
        <v>104</v>
      </c>
      <c r="B203" s="8"/>
      <c r="C203" s="48"/>
      <c r="D203" s="48"/>
      <c r="E203" s="48">
        <v>3237.6</v>
      </c>
      <c r="F203" s="48">
        <f>C203+D203+E203</f>
        <v>3237.6</v>
      </c>
      <c r="G203" s="48"/>
      <c r="H203" s="48"/>
      <c r="I203" s="48">
        <f>F203+G203+H203</f>
        <v>3237.6</v>
      </c>
      <c r="J203" s="48"/>
      <c r="K203" s="48"/>
      <c r="L203" s="48">
        <f>I203+J203+K203</f>
        <v>3237.6</v>
      </c>
      <c r="M203" s="48">
        <f>1708+6</f>
        <v>1714</v>
      </c>
      <c r="N203" s="48"/>
      <c r="O203" s="48">
        <f>L203+M203+N203</f>
        <v>4951.6</v>
      </c>
      <c r="P203" s="75"/>
      <c r="Q203" s="75"/>
      <c r="R203" s="75">
        <f>O203+P203+Q203</f>
        <v>4951.6</v>
      </c>
    </row>
    <row r="204" spans="1:18" ht="12.75">
      <c r="A204" s="15" t="s">
        <v>75</v>
      </c>
      <c r="B204" s="15"/>
      <c r="C204" s="53">
        <f>C207+C206</f>
        <v>0</v>
      </c>
      <c r="D204" s="53">
        <f aca="true" t="shared" si="65" ref="D204:R204">D207+D206</f>
        <v>0</v>
      </c>
      <c r="E204" s="53">
        <f t="shared" si="65"/>
        <v>852</v>
      </c>
      <c r="F204" s="53">
        <f t="shared" si="65"/>
        <v>852</v>
      </c>
      <c r="G204" s="53">
        <f t="shared" si="65"/>
        <v>0</v>
      </c>
      <c r="H204" s="53">
        <f t="shared" si="65"/>
        <v>0</v>
      </c>
      <c r="I204" s="53">
        <f t="shared" si="65"/>
        <v>852</v>
      </c>
      <c r="J204" s="53">
        <f t="shared" si="65"/>
        <v>350</v>
      </c>
      <c r="K204" s="53">
        <f t="shared" si="65"/>
        <v>0</v>
      </c>
      <c r="L204" s="53">
        <f t="shared" si="65"/>
        <v>1202</v>
      </c>
      <c r="M204" s="53">
        <f t="shared" si="65"/>
        <v>792</v>
      </c>
      <c r="N204" s="53">
        <f t="shared" si="65"/>
        <v>0</v>
      </c>
      <c r="O204" s="53">
        <f t="shared" si="65"/>
        <v>1994</v>
      </c>
      <c r="P204" s="53">
        <f t="shared" si="65"/>
        <v>0</v>
      </c>
      <c r="Q204" s="53">
        <f t="shared" si="65"/>
        <v>0</v>
      </c>
      <c r="R204" s="53">
        <f t="shared" si="65"/>
        <v>1994</v>
      </c>
    </row>
    <row r="205" spans="1:18" ht="12.75">
      <c r="A205" s="6" t="s">
        <v>38</v>
      </c>
      <c r="B205" s="6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75"/>
      <c r="Q205" s="75"/>
      <c r="R205" s="75"/>
    </row>
    <row r="206" spans="1:18" ht="12.75">
      <c r="A206" s="7" t="s">
        <v>76</v>
      </c>
      <c r="B206" s="6"/>
      <c r="C206" s="48"/>
      <c r="D206" s="48"/>
      <c r="E206" s="48"/>
      <c r="F206" s="48"/>
      <c r="G206" s="48"/>
      <c r="H206" s="48"/>
      <c r="I206" s="48"/>
      <c r="J206" s="48">
        <v>350</v>
      </c>
      <c r="K206" s="48"/>
      <c r="L206" s="48">
        <f>I206+J206+K206</f>
        <v>350</v>
      </c>
      <c r="M206" s="48"/>
      <c r="N206" s="48"/>
      <c r="O206" s="48">
        <f>L206+M206+N206</f>
        <v>350</v>
      </c>
      <c r="P206" s="75"/>
      <c r="Q206" s="75"/>
      <c r="R206" s="75">
        <f>O206+P206+Q206</f>
        <v>350</v>
      </c>
    </row>
    <row r="207" spans="1:18" ht="12.75">
      <c r="A207" s="18" t="s">
        <v>104</v>
      </c>
      <c r="B207" s="18"/>
      <c r="C207" s="52"/>
      <c r="D207" s="52"/>
      <c r="E207" s="52">
        <v>852</v>
      </c>
      <c r="F207" s="52">
        <f>C207+D207+E207</f>
        <v>852</v>
      </c>
      <c r="G207" s="52"/>
      <c r="H207" s="52"/>
      <c r="I207" s="52">
        <f>F207+G207+H207</f>
        <v>852</v>
      </c>
      <c r="J207" s="52"/>
      <c r="K207" s="52"/>
      <c r="L207" s="52">
        <f>I207+J207+K207</f>
        <v>852</v>
      </c>
      <c r="M207" s="52">
        <v>792</v>
      </c>
      <c r="N207" s="52"/>
      <c r="O207" s="52">
        <f>L207+M207+N207</f>
        <v>1644</v>
      </c>
      <c r="P207" s="85"/>
      <c r="Q207" s="85"/>
      <c r="R207" s="85">
        <f>O207+P207+Q207</f>
        <v>1644</v>
      </c>
    </row>
    <row r="208" spans="1:18" ht="12.75">
      <c r="A208" s="9" t="s">
        <v>108</v>
      </c>
      <c r="B208" s="9"/>
      <c r="C208" s="49">
        <f aca="true" t="shared" si="66" ref="C208:O208">C209+C215</f>
        <v>26780</v>
      </c>
      <c r="D208" s="49">
        <f t="shared" si="66"/>
        <v>9367</v>
      </c>
      <c r="E208" s="49">
        <f t="shared" si="66"/>
        <v>0</v>
      </c>
      <c r="F208" s="49">
        <f t="shared" si="66"/>
        <v>36147</v>
      </c>
      <c r="G208" s="49">
        <f t="shared" si="66"/>
        <v>1359</v>
      </c>
      <c r="H208" s="49">
        <f t="shared" si="66"/>
        <v>0</v>
      </c>
      <c r="I208" s="49">
        <f t="shared" si="66"/>
        <v>37506</v>
      </c>
      <c r="J208" s="49">
        <f t="shared" si="66"/>
        <v>1460.4</v>
      </c>
      <c r="K208" s="49">
        <f t="shared" si="66"/>
        <v>0</v>
      </c>
      <c r="L208" s="49">
        <f t="shared" si="66"/>
        <v>38966.4</v>
      </c>
      <c r="M208" s="49">
        <f t="shared" si="66"/>
        <v>0</v>
      </c>
      <c r="N208" s="49">
        <f t="shared" si="66"/>
        <v>0</v>
      </c>
      <c r="O208" s="49">
        <f t="shared" si="66"/>
        <v>38966.4</v>
      </c>
      <c r="P208" s="49">
        <f>P209+P215</f>
        <v>149.9</v>
      </c>
      <c r="Q208" s="49">
        <f>Q209+Q215</f>
        <v>0</v>
      </c>
      <c r="R208" s="49">
        <f>R209+R215</f>
        <v>39116.3</v>
      </c>
    </row>
    <row r="209" spans="1:18" ht="12.75">
      <c r="A209" s="14" t="s">
        <v>69</v>
      </c>
      <c r="B209" s="14"/>
      <c r="C209" s="51">
        <f aca="true" t="shared" si="67" ref="C209:O209">SUM(C211:C214)</f>
        <v>24580</v>
      </c>
      <c r="D209" s="51">
        <f t="shared" si="67"/>
        <v>4836.6</v>
      </c>
      <c r="E209" s="51">
        <f t="shared" si="67"/>
        <v>0</v>
      </c>
      <c r="F209" s="51">
        <f t="shared" si="67"/>
        <v>29416.6</v>
      </c>
      <c r="G209" s="51">
        <f t="shared" si="67"/>
        <v>351</v>
      </c>
      <c r="H209" s="51">
        <f t="shared" si="67"/>
        <v>0</v>
      </c>
      <c r="I209" s="51">
        <f t="shared" si="67"/>
        <v>29767.6</v>
      </c>
      <c r="J209" s="51">
        <f t="shared" si="67"/>
        <v>1460.4</v>
      </c>
      <c r="K209" s="51">
        <f t="shared" si="67"/>
        <v>0</v>
      </c>
      <c r="L209" s="51">
        <f t="shared" si="67"/>
        <v>31228</v>
      </c>
      <c r="M209" s="51">
        <f t="shared" si="67"/>
        <v>-150</v>
      </c>
      <c r="N209" s="51">
        <f t="shared" si="67"/>
        <v>0</v>
      </c>
      <c r="O209" s="51">
        <f t="shared" si="67"/>
        <v>31078</v>
      </c>
      <c r="P209" s="51">
        <f>SUM(P211:P214)</f>
        <v>149.9</v>
      </c>
      <c r="Q209" s="51">
        <f>SUM(Q211:Q214)</f>
        <v>0</v>
      </c>
      <c r="R209" s="51">
        <f>SUM(R211:R214)</f>
        <v>31227.9</v>
      </c>
    </row>
    <row r="210" spans="1:18" ht="12.75">
      <c r="A210" s="10" t="s">
        <v>38</v>
      </c>
      <c r="B210" s="10"/>
      <c r="C210" s="48"/>
      <c r="D210" s="48"/>
      <c r="E210" s="48"/>
      <c r="F210" s="47"/>
      <c r="G210" s="48"/>
      <c r="H210" s="48"/>
      <c r="I210" s="47"/>
      <c r="J210" s="48"/>
      <c r="K210" s="48"/>
      <c r="L210" s="47"/>
      <c r="M210" s="48"/>
      <c r="N210" s="48"/>
      <c r="O210" s="47"/>
      <c r="P210" s="75"/>
      <c r="Q210" s="75"/>
      <c r="R210" s="75"/>
    </row>
    <row r="211" spans="1:18" ht="12.75">
      <c r="A211" s="8" t="s">
        <v>72</v>
      </c>
      <c r="B211" s="8"/>
      <c r="C211" s="48">
        <v>4580</v>
      </c>
      <c r="D211" s="48"/>
      <c r="E211" s="48"/>
      <c r="F211" s="48">
        <f>C211+D211+E211</f>
        <v>4580</v>
      </c>
      <c r="G211" s="48"/>
      <c r="H211" s="48"/>
      <c r="I211" s="48">
        <f>F211+G211+H211</f>
        <v>4580</v>
      </c>
      <c r="J211" s="48">
        <f>960.4+500</f>
        <v>1460.4</v>
      </c>
      <c r="K211" s="48"/>
      <c r="L211" s="48">
        <f>I211+J211+K211</f>
        <v>6040.4</v>
      </c>
      <c r="M211" s="48">
        <v>300</v>
      </c>
      <c r="N211" s="48"/>
      <c r="O211" s="48">
        <f>L211+M211+N211</f>
        <v>6340.4</v>
      </c>
      <c r="P211" s="75">
        <v>149.9</v>
      </c>
      <c r="Q211" s="75"/>
      <c r="R211" s="75">
        <f>O211+P211+Q211</f>
        <v>6490.299999999999</v>
      </c>
    </row>
    <row r="212" spans="1:18" ht="12.75">
      <c r="A212" s="8" t="s">
        <v>104</v>
      </c>
      <c r="B212" s="8" t="s">
        <v>371</v>
      </c>
      <c r="C212" s="48"/>
      <c r="D212" s="48"/>
      <c r="E212" s="48"/>
      <c r="F212" s="48">
        <f>C212+D212+E212</f>
        <v>0</v>
      </c>
      <c r="G212" s="48">
        <v>351</v>
      </c>
      <c r="H212" s="48"/>
      <c r="I212" s="48">
        <f>F212+G212+H212</f>
        <v>351</v>
      </c>
      <c r="J212" s="48"/>
      <c r="K212" s="48"/>
      <c r="L212" s="48">
        <f>I212+J212+K212</f>
        <v>351</v>
      </c>
      <c r="M212" s="48"/>
      <c r="N212" s="48"/>
      <c r="O212" s="48">
        <f>L212+M212+N212</f>
        <v>351</v>
      </c>
      <c r="P212" s="75"/>
      <c r="Q212" s="75"/>
      <c r="R212" s="75">
        <f>O212+P212+Q212</f>
        <v>351</v>
      </c>
    </row>
    <row r="213" spans="1:18" ht="12.75">
      <c r="A213" s="8" t="s">
        <v>262</v>
      </c>
      <c r="B213" s="8" t="s">
        <v>370</v>
      </c>
      <c r="C213" s="48"/>
      <c r="D213" s="48">
        <v>4836.6</v>
      </c>
      <c r="E213" s="48"/>
      <c r="F213" s="48">
        <f>C213+D213+E213</f>
        <v>4836.6</v>
      </c>
      <c r="G213" s="48"/>
      <c r="H213" s="48"/>
      <c r="I213" s="48">
        <f>F213+G213+H213</f>
        <v>4836.6</v>
      </c>
      <c r="J213" s="48"/>
      <c r="K213" s="48"/>
      <c r="L213" s="48">
        <f>I213+J213+K213</f>
        <v>4836.6</v>
      </c>
      <c r="M213" s="48"/>
      <c r="N213" s="48"/>
      <c r="O213" s="48">
        <f>L213+M213+N213</f>
        <v>4836.6</v>
      </c>
      <c r="P213" s="75"/>
      <c r="Q213" s="75"/>
      <c r="R213" s="75">
        <f>O213+P213+Q213</f>
        <v>4836.6</v>
      </c>
    </row>
    <row r="214" spans="1:18" ht="12.75">
      <c r="A214" s="8" t="s">
        <v>109</v>
      </c>
      <c r="B214" s="8"/>
      <c r="C214" s="48">
        <v>20000</v>
      </c>
      <c r="D214" s="48"/>
      <c r="E214" s="48"/>
      <c r="F214" s="48">
        <f>C214+D214+E214</f>
        <v>20000</v>
      </c>
      <c r="G214" s="48"/>
      <c r="H214" s="48"/>
      <c r="I214" s="48">
        <f>F214+G214+H214</f>
        <v>20000</v>
      </c>
      <c r="J214" s="48"/>
      <c r="K214" s="48"/>
      <c r="L214" s="48">
        <f>I214+J214+K214</f>
        <v>20000</v>
      </c>
      <c r="M214" s="48">
        <v>-450</v>
      </c>
      <c r="N214" s="48"/>
      <c r="O214" s="48">
        <f>L214+M214+N214</f>
        <v>19550</v>
      </c>
      <c r="P214" s="75"/>
      <c r="Q214" s="75"/>
      <c r="R214" s="75">
        <f>O214+P214+Q214</f>
        <v>19550</v>
      </c>
    </row>
    <row r="215" spans="1:18" ht="12.75">
      <c r="A215" s="15" t="s">
        <v>75</v>
      </c>
      <c r="B215" s="15"/>
      <c r="C215" s="53">
        <f>C219+C217+C218</f>
        <v>2200</v>
      </c>
      <c r="D215" s="53">
        <f aca="true" t="shared" si="68" ref="D215:R215">D219+D217</f>
        <v>4530.4</v>
      </c>
      <c r="E215" s="53">
        <f t="shared" si="68"/>
        <v>0</v>
      </c>
      <c r="F215" s="53">
        <f t="shared" si="68"/>
        <v>6730.4</v>
      </c>
      <c r="G215" s="53">
        <f t="shared" si="68"/>
        <v>1008</v>
      </c>
      <c r="H215" s="53">
        <f t="shared" si="68"/>
        <v>0</v>
      </c>
      <c r="I215" s="53">
        <f t="shared" si="68"/>
        <v>7738.4</v>
      </c>
      <c r="J215" s="53">
        <f t="shared" si="68"/>
        <v>0</v>
      </c>
      <c r="K215" s="53">
        <f t="shared" si="68"/>
        <v>0</v>
      </c>
      <c r="L215" s="53">
        <f t="shared" si="68"/>
        <v>7738.4</v>
      </c>
      <c r="M215" s="53">
        <f t="shared" si="68"/>
        <v>150</v>
      </c>
      <c r="N215" s="53">
        <f t="shared" si="68"/>
        <v>0</v>
      </c>
      <c r="O215" s="53">
        <f t="shared" si="68"/>
        <v>7888.4</v>
      </c>
      <c r="P215" s="53">
        <f t="shared" si="68"/>
        <v>0</v>
      </c>
      <c r="Q215" s="53">
        <f t="shared" si="68"/>
        <v>0</v>
      </c>
      <c r="R215" s="53">
        <f t="shared" si="68"/>
        <v>7888.4</v>
      </c>
    </row>
    <row r="216" spans="1:18" ht="12.75">
      <c r="A216" s="6" t="s">
        <v>38</v>
      </c>
      <c r="B216" s="6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75"/>
      <c r="Q216" s="75"/>
      <c r="R216" s="75"/>
    </row>
    <row r="217" spans="1:18" ht="12.75">
      <c r="A217" s="8" t="s">
        <v>263</v>
      </c>
      <c r="B217" s="8"/>
      <c r="C217" s="48"/>
      <c r="D217" s="48">
        <v>4530.4</v>
      </c>
      <c r="E217" s="49"/>
      <c r="F217" s="48">
        <f>C217+D217+E217</f>
        <v>4530.4</v>
      </c>
      <c r="G217" s="48">
        <v>1008</v>
      </c>
      <c r="H217" s="49"/>
      <c r="I217" s="48">
        <f>F217+G217+H217</f>
        <v>5538.4</v>
      </c>
      <c r="J217" s="49"/>
      <c r="K217" s="49"/>
      <c r="L217" s="48">
        <f>I217+J217+K217</f>
        <v>5538.4</v>
      </c>
      <c r="M217" s="49"/>
      <c r="N217" s="49"/>
      <c r="O217" s="48">
        <f>L217+M217+N217</f>
        <v>5538.4</v>
      </c>
      <c r="P217" s="75"/>
      <c r="Q217" s="75"/>
      <c r="R217" s="75">
        <f>O217+P217+Q217</f>
        <v>5538.4</v>
      </c>
    </row>
    <row r="218" spans="1:18" ht="12.75" hidden="1">
      <c r="A218" s="8" t="s">
        <v>245</v>
      </c>
      <c r="B218" s="8">
        <v>98861</v>
      </c>
      <c r="C218" s="48"/>
      <c r="D218" s="48"/>
      <c r="E218" s="49"/>
      <c r="F218" s="48">
        <f>C218+D218+E218</f>
        <v>0</v>
      </c>
      <c r="G218" s="49"/>
      <c r="H218" s="49"/>
      <c r="I218" s="48"/>
      <c r="J218" s="49"/>
      <c r="K218" s="49"/>
      <c r="L218" s="48"/>
      <c r="M218" s="49"/>
      <c r="N218" s="49"/>
      <c r="O218" s="48">
        <f>L218+M218+N218</f>
        <v>0</v>
      </c>
      <c r="P218" s="75"/>
      <c r="Q218" s="75"/>
      <c r="R218" s="75">
        <f>O218+P218+Q218</f>
        <v>0</v>
      </c>
    </row>
    <row r="219" spans="1:18" ht="12.75">
      <c r="A219" s="19" t="s">
        <v>76</v>
      </c>
      <c r="B219" s="19"/>
      <c r="C219" s="52">
        <v>2200</v>
      </c>
      <c r="D219" s="52"/>
      <c r="E219" s="52"/>
      <c r="F219" s="52">
        <f>C219+D219+E219</f>
        <v>2200</v>
      </c>
      <c r="G219" s="52"/>
      <c r="H219" s="52"/>
      <c r="I219" s="52">
        <f>F219+G219+H219</f>
        <v>2200</v>
      </c>
      <c r="J219" s="52"/>
      <c r="K219" s="52"/>
      <c r="L219" s="52">
        <f>I219+J219+K219</f>
        <v>2200</v>
      </c>
      <c r="M219" s="52">
        <v>150</v>
      </c>
      <c r="N219" s="52"/>
      <c r="O219" s="52">
        <f>L219+M219+N219</f>
        <v>2350</v>
      </c>
      <c r="P219" s="85"/>
      <c r="Q219" s="85"/>
      <c r="R219" s="85">
        <f>O219+P219+Q219</f>
        <v>2350</v>
      </c>
    </row>
    <row r="220" spans="1:18" ht="12.75">
      <c r="A220" s="5" t="s">
        <v>259</v>
      </c>
      <c r="B220" s="5"/>
      <c r="C220" s="47">
        <f aca="true" t="shared" si="69" ref="C220:O220">C221+C257</f>
        <v>10800</v>
      </c>
      <c r="D220" s="47">
        <f t="shared" si="69"/>
        <v>-7190</v>
      </c>
      <c r="E220" s="47">
        <f t="shared" si="69"/>
        <v>99890.79999999997</v>
      </c>
      <c r="F220" s="47">
        <f t="shared" si="69"/>
        <v>103500.79999999997</v>
      </c>
      <c r="G220" s="47">
        <f t="shared" si="69"/>
        <v>38488.4</v>
      </c>
      <c r="H220" s="47">
        <f t="shared" si="69"/>
        <v>0</v>
      </c>
      <c r="I220" s="47">
        <f t="shared" si="69"/>
        <v>141989.19999999998</v>
      </c>
      <c r="J220" s="47">
        <f t="shared" si="69"/>
        <v>33622.600000000006</v>
      </c>
      <c r="K220" s="47">
        <f t="shared" si="69"/>
        <v>0</v>
      </c>
      <c r="L220" s="47">
        <f t="shared" si="69"/>
        <v>175611.79999999996</v>
      </c>
      <c r="M220" s="47">
        <f t="shared" si="69"/>
        <v>29594.399999999998</v>
      </c>
      <c r="N220" s="47">
        <f t="shared" si="69"/>
        <v>0</v>
      </c>
      <c r="O220" s="47">
        <f t="shared" si="69"/>
        <v>205206.19999999998</v>
      </c>
      <c r="P220" s="47">
        <f>P221+P257</f>
        <v>79759.09999999999</v>
      </c>
      <c r="Q220" s="47">
        <f>Q221+Q257</f>
        <v>0</v>
      </c>
      <c r="R220" s="47">
        <f>R221+R257</f>
        <v>284965.30000000005</v>
      </c>
    </row>
    <row r="221" spans="1:18" ht="12.75">
      <c r="A221" s="14" t="s">
        <v>69</v>
      </c>
      <c r="B221" s="14"/>
      <c r="C221" s="51">
        <f aca="true" t="shared" si="70" ref="C221:O221">SUM(C223:C256)</f>
        <v>10800</v>
      </c>
      <c r="D221" s="51">
        <f t="shared" si="70"/>
        <v>-7190</v>
      </c>
      <c r="E221" s="51">
        <f t="shared" si="70"/>
        <v>92472.49999999997</v>
      </c>
      <c r="F221" s="51">
        <f t="shared" si="70"/>
        <v>96082.49999999997</v>
      </c>
      <c r="G221" s="51">
        <f t="shared" si="70"/>
        <v>38462.3</v>
      </c>
      <c r="H221" s="51">
        <f t="shared" si="70"/>
        <v>0</v>
      </c>
      <c r="I221" s="51">
        <f t="shared" si="70"/>
        <v>134544.8</v>
      </c>
      <c r="J221" s="51">
        <f t="shared" si="70"/>
        <v>33617.700000000004</v>
      </c>
      <c r="K221" s="51">
        <f t="shared" si="70"/>
        <v>0</v>
      </c>
      <c r="L221" s="51">
        <f t="shared" si="70"/>
        <v>168162.49999999997</v>
      </c>
      <c r="M221" s="51">
        <f t="shared" si="70"/>
        <v>29161.199999999997</v>
      </c>
      <c r="N221" s="51">
        <f t="shared" si="70"/>
        <v>0</v>
      </c>
      <c r="O221" s="51">
        <f t="shared" si="70"/>
        <v>197323.69999999998</v>
      </c>
      <c r="P221" s="51">
        <f>SUM(P223:P256)</f>
        <v>68854.7</v>
      </c>
      <c r="Q221" s="51">
        <f>SUM(Q223:Q256)</f>
        <v>0</v>
      </c>
      <c r="R221" s="51">
        <f>SUM(R223:R256)</f>
        <v>266178.4</v>
      </c>
    </row>
    <row r="222" spans="1:18" ht="12.75">
      <c r="A222" s="6" t="s">
        <v>38</v>
      </c>
      <c r="B222" s="6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75"/>
      <c r="Q222" s="75"/>
      <c r="R222" s="75"/>
    </row>
    <row r="223" spans="1:18" ht="12.75">
      <c r="A223" s="8" t="s">
        <v>72</v>
      </c>
      <c r="B223" s="8"/>
      <c r="C223" s="48">
        <v>3410</v>
      </c>
      <c r="D223" s="48">
        <v>-600</v>
      </c>
      <c r="E223" s="48">
        <f>323.2+9.3+35.1+33.9+1291.1</f>
        <v>1692.6</v>
      </c>
      <c r="F223" s="48">
        <f>C223+D223+E223</f>
        <v>4502.6</v>
      </c>
      <c r="G223" s="48">
        <f>64.2+4.1</f>
        <v>68.3</v>
      </c>
      <c r="H223" s="48"/>
      <c r="I223" s="48">
        <f>F223+G223+H223</f>
        <v>4570.900000000001</v>
      </c>
      <c r="J223" s="55">
        <v>3.5</v>
      </c>
      <c r="K223" s="48"/>
      <c r="L223" s="48">
        <f>I223+J223+K223</f>
        <v>4574.400000000001</v>
      </c>
      <c r="M223" s="55">
        <v>-20</v>
      </c>
      <c r="N223" s="48"/>
      <c r="O223" s="48">
        <f>L223+M223+N223</f>
        <v>4554.400000000001</v>
      </c>
      <c r="P223" s="75"/>
      <c r="Q223" s="75"/>
      <c r="R223" s="75">
        <f>O223+P223+Q223</f>
        <v>4554.400000000001</v>
      </c>
    </row>
    <row r="224" spans="1:18" ht="12.75">
      <c r="A224" s="8" t="s">
        <v>188</v>
      </c>
      <c r="B224" s="8"/>
      <c r="C224" s="48">
        <v>5523</v>
      </c>
      <c r="D224" s="48">
        <v>-5523</v>
      </c>
      <c r="E224" s="48"/>
      <c r="F224" s="48">
        <f aca="true" t="shared" si="71" ref="F224:F256">C224+D224+E224</f>
        <v>0</v>
      </c>
      <c r="G224" s="48"/>
      <c r="H224" s="48"/>
      <c r="I224" s="48">
        <f aca="true" t="shared" si="72" ref="I224:I256">F224+G224+H224</f>
        <v>0</v>
      </c>
      <c r="J224" s="48"/>
      <c r="K224" s="48"/>
      <c r="L224" s="48">
        <f aca="true" t="shared" si="73" ref="L224:L256">I224+J224+K224</f>
        <v>0</v>
      </c>
      <c r="M224" s="48"/>
      <c r="N224" s="48"/>
      <c r="O224" s="48">
        <f>L224+M224+N224</f>
        <v>0</v>
      </c>
      <c r="P224" s="75"/>
      <c r="Q224" s="75"/>
      <c r="R224" s="75">
        <f aca="true" t="shared" si="74" ref="R224:R256">O224+P224+Q224</f>
        <v>0</v>
      </c>
    </row>
    <row r="225" spans="1:18" ht="12.75">
      <c r="A225" s="17" t="s">
        <v>110</v>
      </c>
      <c r="B225" s="17"/>
      <c r="C225" s="48">
        <v>1067</v>
      </c>
      <c r="D225" s="48">
        <v>-1067</v>
      </c>
      <c r="E225" s="48"/>
      <c r="F225" s="48">
        <f t="shared" si="71"/>
        <v>0</v>
      </c>
      <c r="G225" s="48"/>
      <c r="H225" s="48"/>
      <c r="I225" s="48">
        <f t="shared" si="72"/>
        <v>0</v>
      </c>
      <c r="J225" s="48"/>
      <c r="K225" s="48"/>
      <c r="L225" s="48">
        <f t="shared" si="73"/>
        <v>0</v>
      </c>
      <c r="M225" s="48"/>
      <c r="N225" s="48"/>
      <c r="O225" s="48">
        <f>L225+M225+N225</f>
        <v>0</v>
      </c>
      <c r="P225" s="75"/>
      <c r="Q225" s="75"/>
      <c r="R225" s="75">
        <f t="shared" si="74"/>
        <v>0</v>
      </c>
    </row>
    <row r="226" spans="1:18" ht="12.75">
      <c r="A226" s="8" t="s">
        <v>291</v>
      </c>
      <c r="B226" s="64">
        <v>2400</v>
      </c>
      <c r="C226" s="48"/>
      <c r="D226" s="48"/>
      <c r="E226" s="48">
        <v>217.8</v>
      </c>
      <c r="F226" s="48">
        <f t="shared" si="71"/>
        <v>217.8</v>
      </c>
      <c r="G226" s="48"/>
      <c r="H226" s="48"/>
      <c r="I226" s="48">
        <f t="shared" si="72"/>
        <v>217.8</v>
      </c>
      <c r="J226" s="48"/>
      <c r="K226" s="48"/>
      <c r="L226" s="48">
        <f t="shared" si="73"/>
        <v>217.8</v>
      </c>
      <c r="M226" s="48"/>
      <c r="N226" s="48"/>
      <c r="O226" s="48">
        <f aca="true" t="shared" si="75" ref="O226:O240">L226+M226+N226</f>
        <v>217.8</v>
      </c>
      <c r="P226" s="75"/>
      <c r="Q226" s="75"/>
      <c r="R226" s="75">
        <f t="shared" si="74"/>
        <v>217.8</v>
      </c>
    </row>
    <row r="227" spans="1:18" ht="12.75">
      <c r="A227" s="8" t="s">
        <v>359</v>
      </c>
      <c r="B227" s="64"/>
      <c r="C227" s="48"/>
      <c r="D227" s="48"/>
      <c r="E227" s="48"/>
      <c r="F227" s="48"/>
      <c r="G227" s="48"/>
      <c r="H227" s="48"/>
      <c r="I227" s="48"/>
      <c r="J227" s="48"/>
      <c r="K227" s="48"/>
      <c r="L227" s="48">
        <f t="shared" si="73"/>
        <v>0</v>
      </c>
      <c r="M227" s="48">
        <v>634.3</v>
      </c>
      <c r="N227" s="48"/>
      <c r="O227" s="48">
        <f t="shared" si="75"/>
        <v>634.3</v>
      </c>
      <c r="P227" s="75"/>
      <c r="Q227" s="75"/>
      <c r="R227" s="75">
        <f t="shared" si="74"/>
        <v>634.3</v>
      </c>
    </row>
    <row r="228" spans="1:18" ht="12.75">
      <c r="A228" s="17" t="s">
        <v>288</v>
      </c>
      <c r="B228" s="64">
        <v>5100</v>
      </c>
      <c r="C228" s="48"/>
      <c r="D228" s="48"/>
      <c r="E228" s="48">
        <v>7749.8</v>
      </c>
      <c r="F228" s="48">
        <f t="shared" si="71"/>
        <v>7749.8</v>
      </c>
      <c r="G228" s="48">
        <v>94.5</v>
      </c>
      <c r="H228" s="48"/>
      <c r="I228" s="48">
        <f t="shared" si="72"/>
        <v>7844.3</v>
      </c>
      <c r="J228" s="48">
        <f>58+46.1+138.1</f>
        <v>242.2</v>
      </c>
      <c r="K228" s="48"/>
      <c r="L228" s="48">
        <f t="shared" si="73"/>
        <v>8086.5</v>
      </c>
      <c r="M228" s="48">
        <f>130.6+17.9-58+135.7</f>
        <v>226.2</v>
      </c>
      <c r="N228" s="48"/>
      <c r="O228" s="48">
        <f t="shared" si="75"/>
        <v>8312.7</v>
      </c>
      <c r="P228" s="75">
        <v>82.3</v>
      </c>
      <c r="Q228" s="75"/>
      <c r="R228" s="75">
        <f t="shared" si="74"/>
        <v>8395</v>
      </c>
    </row>
    <row r="229" spans="1:18" ht="12.75">
      <c r="A229" s="17" t="s">
        <v>185</v>
      </c>
      <c r="B229" s="65"/>
      <c r="C229" s="48"/>
      <c r="D229" s="48"/>
      <c r="E229" s="48"/>
      <c r="F229" s="48">
        <f t="shared" si="71"/>
        <v>0</v>
      </c>
      <c r="G229" s="48">
        <f>11750.2+11943.3</f>
        <v>23693.5</v>
      </c>
      <c r="H229" s="48"/>
      <c r="I229" s="48">
        <f t="shared" si="72"/>
        <v>23693.5</v>
      </c>
      <c r="J229" s="48">
        <v>14323.6</v>
      </c>
      <c r="K229" s="48"/>
      <c r="L229" s="48">
        <f t="shared" si="73"/>
        <v>38017.1</v>
      </c>
      <c r="M229" s="48">
        <f>2529.8+7585+1668.5</f>
        <v>11783.3</v>
      </c>
      <c r="N229" s="48"/>
      <c r="O229" s="48">
        <f t="shared" si="75"/>
        <v>49800.399999999994</v>
      </c>
      <c r="P229" s="75">
        <f>7537+5470+4677.1</f>
        <v>17684.1</v>
      </c>
      <c r="Q229" s="75"/>
      <c r="R229" s="75">
        <f t="shared" si="74"/>
        <v>67484.5</v>
      </c>
    </row>
    <row r="230" spans="1:18" ht="12.75">
      <c r="A230" s="17" t="s">
        <v>277</v>
      </c>
      <c r="B230" s="65">
        <v>5200</v>
      </c>
      <c r="C230" s="48"/>
      <c r="D230" s="48"/>
      <c r="E230" s="48">
        <v>38.9</v>
      </c>
      <c r="F230" s="48">
        <f t="shared" si="71"/>
        <v>38.9</v>
      </c>
      <c r="G230" s="48"/>
      <c r="H230" s="48"/>
      <c r="I230" s="48">
        <f t="shared" si="72"/>
        <v>38.9</v>
      </c>
      <c r="J230" s="48"/>
      <c r="K230" s="48"/>
      <c r="L230" s="48">
        <f t="shared" si="73"/>
        <v>38.9</v>
      </c>
      <c r="M230" s="48"/>
      <c r="N230" s="48"/>
      <c r="O230" s="48">
        <f t="shared" si="75"/>
        <v>38.9</v>
      </c>
      <c r="P230" s="75"/>
      <c r="Q230" s="75"/>
      <c r="R230" s="75">
        <f t="shared" si="74"/>
        <v>38.9</v>
      </c>
    </row>
    <row r="231" spans="1:18" ht="12.75">
      <c r="A231" s="18" t="s">
        <v>186</v>
      </c>
      <c r="B231" s="98"/>
      <c r="C231" s="52"/>
      <c r="D231" s="52"/>
      <c r="E231" s="52"/>
      <c r="F231" s="52">
        <f t="shared" si="71"/>
        <v>0</v>
      </c>
      <c r="G231" s="52"/>
      <c r="H231" s="52"/>
      <c r="I231" s="52">
        <f t="shared" si="72"/>
        <v>0</v>
      </c>
      <c r="J231" s="52">
        <f>9.2+154.5</f>
        <v>163.7</v>
      </c>
      <c r="K231" s="52"/>
      <c r="L231" s="52">
        <f t="shared" si="73"/>
        <v>163.7</v>
      </c>
      <c r="M231" s="52"/>
      <c r="N231" s="52"/>
      <c r="O231" s="52">
        <f t="shared" si="75"/>
        <v>163.7</v>
      </c>
      <c r="P231" s="85">
        <f>8.6+143.7</f>
        <v>152.29999999999998</v>
      </c>
      <c r="Q231" s="85"/>
      <c r="R231" s="85">
        <f t="shared" si="74"/>
        <v>316</v>
      </c>
    </row>
    <row r="232" spans="1:18" ht="12.75" hidden="1">
      <c r="A232" s="17" t="s">
        <v>250</v>
      </c>
      <c r="B232" s="65"/>
      <c r="C232" s="48"/>
      <c r="D232" s="48"/>
      <c r="E232" s="48"/>
      <c r="F232" s="48">
        <f t="shared" si="71"/>
        <v>0</v>
      </c>
      <c r="G232" s="48"/>
      <c r="H232" s="48"/>
      <c r="I232" s="48">
        <f t="shared" si="72"/>
        <v>0</v>
      </c>
      <c r="J232" s="48"/>
      <c r="K232" s="48"/>
      <c r="L232" s="48">
        <f t="shared" si="73"/>
        <v>0</v>
      </c>
      <c r="M232" s="48"/>
      <c r="N232" s="48"/>
      <c r="O232" s="48">
        <f t="shared" si="75"/>
        <v>0</v>
      </c>
      <c r="P232" s="75"/>
      <c r="Q232" s="75"/>
      <c r="R232" s="75">
        <f t="shared" si="74"/>
        <v>0</v>
      </c>
    </row>
    <row r="233" spans="1:18" ht="12.75" hidden="1">
      <c r="A233" s="17" t="s">
        <v>206</v>
      </c>
      <c r="B233" s="65"/>
      <c r="C233" s="48"/>
      <c r="D233" s="48"/>
      <c r="E233" s="48"/>
      <c r="F233" s="48">
        <f t="shared" si="71"/>
        <v>0</v>
      </c>
      <c r="G233" s="48"/>
      <c r="H233" s="48"/>
      <c r="I233" s="48">
        <f t="shared" si="72"/>
        <v>0</v>
      </c>
      <c r="J233" s="48"/>
      <c r="K233" s="48"/>
      <c r="L233" s="48">
        <f t="shared" si="73"/>
        <v>0</v>
      </c>
      <c r="M233" s="48"/>
      <c r="N233" s="48"/>
      <c r="O233" s="48">
        <f t="shared" si="75"/>
        <v>0</v>
      </c>
      <c r="P233" s="75"/>
      <c r="Q233" s="75"/>
      <c r="R233" s="75">
        <f t="shared" si="74"/>
        <v>0</v>
      </c>
    </row>
    <row r="234" spans="1:18" ht="12.75">
      <c r="A234" s="17" t="s">
        <v>289</v>
      </c>
      <c r="B234" s="65">
        <v>3500</v>
      </c>
      <c r="C234" s="48"/>
      <c r="D234" s="48"/>
      <c r="E234" s="48">
        <v>553.2</v>
      </c>
      <c r="F234" s="48">
        <f t="shared" si="71"/>
        <v>553.2</v>
      </c>
      <c r="G234" s="48"/>
      <c r="H234" s="48"/>
      <c r="I234" s="48">
        <f t="shared" si="72"/>
        <v>553.2</v>
      </c>
      <c r="J234" s="48"/>
      <c r="K234" s="48"/>
      <c r="L234" s="48">
        <f t="shared" si="73"/>
        <v>553.2</v>
      </c>
      <c r="M234" s="48"/>
      <c r="N234" s="48"/>
      <c r="O234" s="48">
        <f t="shared" si="75"/>
        <v>553.2</v>
      </c>
      <c r="P234" s="75"/>
      <c r="Q234" s="75"/>
      <c r="R234" s="75">
        <f t="shared" si="74"/>
        <v>553.2</v>
      </c>
    </row>
    <row r="235" spans="1:18" ht="12.75">
      <c r="A235" s="17" t="s">
        <v>327</v>
      </c>
      <c r="B235" s="65"/>
      <c r="C235" s="48"/>
      <c r="D235" s="48"/>
      <c r="E235" s="48"/>
      <c r="F235" s="48"/>
      <c r="G235" s="48"/>
      <c r="H235" s="48"/>
      <c r="I235" s="48">
        <f t="shared" si="72"/>
        <v>0</v>
      </c>
      <c r="J235" s="48">
        <v>3172.3</v>
      </c>
      <c r="K235" s="48"/>
      <c r="L235" s="48">
        <f t="shared" si="73"/>
        <v>3172.3</v>
      </c>
      <c r="M235" s="48"/>
      <c r="N235" s="48"/>
      <c r="O235" s="48">
        <f t="shared" si="75"/>
        <v>3172.3</v>
      </c>
      <c r="P235" s="75">
        <v>1980.5</v>
      </c>
      <c r="Q235" s="75"/>
      <c r="R235" s="75">
        <f t="shared" si="74"/>
        <v>5152.8</v>
      </c>
    </row>
    <row r="236" spans="1:18" ht="12.75" hidden="1">
      <c r="A236" s="17" t="s">
        <v>224</v>
      </c>
      <c r="B236" s="65"/>
      <c r="C236" s="48"/>
      <c r="D236" s="48"/>
      <c r="E236" s="48"/>
      <c r="F236" s="48">
        <f t="shared" si="71"/>
        <v>0</v>
      </c>
      <c r="G236" s="48"/>
      <c r="H236" s="48"/>
      <c r="I236" s="48">
        <f t="shared" si="72"/>
        <v>0</v>
      </c>
      <c r="J236" s="48"/>
      <c r="K236" s="48"/>
      <c r="L236" s="48">
        <f t="shared" si="73"/>
        <v>0</v>
      </c>
      <c r="M236" s="48"/>
      <c r="N236" s="48"/>
      <c r="O236" s="48">
        <f t="shared" si="75"/>
        <v>0</v>
      </c>
      <c r="P236" s="75"/>
      <c r="Q236" s="75"/>
      <c r="R236" s="75">
        <f t="shared" si="74"/>
        <v>0</v>
      </c>
    </row>
    <row r="237" spans="1:18" ht="12.75" hidden="1">
      <c r="A237" s="17" t="s">
        <v>251</v>
      </c>
      <c r="B237" s="65"/>
      <c r="C237" s="48"/>
      <c r="D237" s="48"/>
      <c r="E237" s="48"/>
      <c r="F237" s="48">
        <f t="shared" si="71"/>
        <v>0</v>
      </c>
      <c r="G237" s="48"/>
      <c r="H237" s="48"/>
      <c r="I237" s="48">
        <f t="shared" si="72"/>
        <v>0</v>
      </c>
      <c r="J237" s="48"/>
      <c r="K237" s="48"/>
      <c r="L237" s="48">
        <f t="shared" si="73"/>
        <v>0</v>
      </c>
      <c r="M237" s="48"/>
      <c r="N237" s="48"/>
      <c r="O237" s="48">
        <f t="shared" si="75"/>
        <v>0</v>
      </c>
      <c r="P237" s="75"/>
      <c r="Q237" s="75"/>
      <c r="R237" s="75">
        <f t="shared" si="74"/>
        <v>0</v>
      </c>
    </row>
    <row r="238" spans="1:18" ht="12.75">
      <c r="A238" s="17" t="s">
        <v>210</v>
      </c>
      <c r="B238" s="65">
        <v>1500</v>
      </c>
      <c r="C238" s="48"/>
      <c r="D238" s="48"/>
      <c r="E238" s="48"/>
      <c r="F238" s="48">
        <f t="shared" si="71"/>
        <v>0</v>
      </c>
      <c r="G238" s="48"/>
      <c r="H238" s="48"/>
      <c r="I238" s="48">
        <f t="shared" si="72"/>
        <v>0</v>
      </c>
      <c r="J238" s="48"/>
      <c r="K238" s="48"/>
      <c r="L238" s="48">
        <f t="shared" si="73"/>
        <v>0</v>
      </c>
      <c r="M238" s="48">
        <v>150.4</v>
      </c>
      <c r="N238" s="48"/>
      <c r="O238" s="48">
        <f t="shared" si="75"/>
        <v>150.4</v>
      </c>
      <c r="P238" s="75"/>
      <c r="Q238" s="75"/>
      <c r="R238" s="75">
        <f t="shared" si="74"/>
        <v>150.4</v>
      </c>
    </row>
    <row r="239" spans="1:18" ht="12.75">
      <c r="A239" s="17" t="s">
        <v>290</v>
      </c>
      <c r="B239" s="65">
        <v>3600</v>
      </c>
      <c r="C239" s="48"/>
      <c r="D239" s="48"/>
      <c r="E239" s="48">
        <v>82.8</v>
      </c>
      <c r="F239" s="48">
        <f t="shared" si="71"/>
        <v>82.8</v>
      </c>
      <c r="G239" s="48"/>
      <c r="H239" s="48"/>
      <c r="I239" s="48">
        <f t="shared" si="72"/>
        <v>82.8</v>
      </c>
      <c r="J239" s="48"/>
      <c r="K239" s="48"/>
      <c r="L239" s="48">
        <f t="shared" si="73"/>
        <v>82.8</v>
      </c>
      <c r="M239" s="48"/>
      <c r="N239" s="48"/>
      <c r="O239" s="48">
        <f t="shared" si="75"/>
        <v>82.8</v>
      </c>
      <c r="P239" s="75"/>
      <c r="Q239" s="75"/>
      <c r="R239" s="75">
        <f t="shared" si="74"/>
        <v>82.8</v>
      </c>
    </row>
    <row r="240" spans="1:18" ht="12.75">
      <c r="A240" s="17" t="s">
        <v>356</v>
      </c>
      <c r="B240" s="65"/>
      <c r="C240" s="48"/>
      <c r="D240" s="48"/>
      <c r="E240" s="48"/>
      <c r="F240" s="48">
        <f t="shared" si="71"/>
        <v>0</v>
      </c>
      <c r="G240" s="48"/>
      <c r="H240" s="48"/>
      <c r="I240" s="48">
        <f t="shared" si="72"/>
        <v>0</v>
      </c>
      <c r="J240" s="48">
        <v>7.9</v>
      </c>
      <c r="K240" s="48"/>
      <c r="L240" s="48">
        <f t="shared" si="73"/>
        <v>7.9</v>
      </c>
      <c r="M240" s="48"/>
      <c r="N240" s="48"/>
      <c r="O240" s="48">
        <f t="shared" si="75"/>
        <v>7.9</v>
      </c>
      <c r="P240" s="75">
        <v>89.6</v>
      </c>
      <c r="Q240" s="75"/>
      <c r="R240" s="75">
        <f t="shared" si="74"/>
        <v>97.5</v>
      </c>
    </row>
    <row r="241" spans="1:18" ht="12.75">
      <c r="A241" s="8" t="s">
        <v>383</v>
      </c>
      <c r="B241" s="66">
        <v>3800</v>
      </c>
      <c r="C241" s="48"/>
      <c r="D241" s="48"/>
      <c r="E241" s="48"/>
      <c r="F241" s="48">
        <f t="shared" si="71"/>
        <v>0</v>
      </c>
      <c r="G241" s="48"/>
      <c r="H241" s="48"/>
      <c r="I241" s="48">
        <f t="shared" si="72"/>
        <v>0</v>
      </c>
      <c r="J241" s="48"/>
      <c r="K241" s="48"/>
      <c r="L241" s="48">
        <f t="shared" si="73"/>
        <v>0</v>
      </c>
      <c r="M241" s="48"/>
      <c r="N241" s="48"/>
      <c r="O241" s="48">
        <f>L241+M241+N241</f>
        <v>0</v>
      </c>
      <c r="P241" s="75">
        <v>5244.5</v>
      </c>
      <c r="Q241" s="75"/>
      <c r="R241" s="75">
        <f t="shared" si="74"/>
        <v>5244.5</v>
      </c>
    </row>
    <row r="242" spans="1:18" ht="12.75" hidden="1">
      <c r="A242" s="7" t="s">
        <v>111</v>
      </c>
      <c r="B242" s="66"/>
      <c r="C242" s="48"/>
      <c r="D242" s="48"/>
      <c r="E242" s="48"/>
      <c r="F242" s="48">
        <f t="shared" si="71"/>
        <v>0</v>
      </c>
      <c r="G242" s="48"/>
      <c r="H242" s="48"/>
      <c r="I242" s="48">
        <f t="shared" si="72"/>
        <v>0</v>
      </c>
      <c r="J242" s="48"/>
      <c r="K242" s="48"/>
      <c r="L242" s="48">
        <f t="shared" si="73"/>
        <v>0</v>
      </c>
      <c r="M242" s="48"/>
      <c r="N242" s="48"/>
      <c r="O242" s="48">
        <f>L242+M242+N242</f>
        <v>0</v>
      </c>
      <c r="P242" s="75"/>
      <c r="Q242" s="75"/>
      <c r="R242" s="75">
        <f t="shared" si="74"/>
        <v>0</v>
      </c>
    </row>
    <row r="243" spans="1:18" ht="12.75" hidden="1">
      <c r="A243" s="17" t="s">
        <v>112</v>
      </c>
      <c r="B243" s="65"/>
      <c r="C243" s="48"/>
      <c r="D243" s="48"/>
      <c r="E243" s="48"/>
      <c r="F243" s="48">
        <f t="shared" si="71"/>
        <v>0</v>
      </c>
      <c r="G243" s="48"/>
      <c r="H243" s="48"/>
      <c r="I243" s="48">
        <f t="shared" si="72"/>
        <v>0</v>
      </c>
      <c r="J243" s="48"/>
      <c r="K243" s="48"/>
      <c r="L243" s="48">
        <f t="shared" si="73"/>
        <v>0</v>
      </c>
      <c r="M243" s="48"/>
      <c r="N243" s="48"/>
      <c r="O243" s="48">
        <f>L243+M243+N243</f>
        <v>0</v>
      </c>
      <c r="P243" s="75"/>
      <c r="Q243" s="75"/>
      <c r="R243" s="75">
        <f t="shared" si="74"/>
        <v>0</v>
      </c>
    </row>
    <row r="244" spans="1:18" ht="12.75">
      <c r="A244" s="8" t="s">
        <v>282</v>
      </c>
      <c r="B244" s="64">
        <v>4000</v>
      </c>
      <c r="C244" s="48"/>
      <c r="D244" s="48"/>
      <c r="E244" s="48">
        <v>15774</v>
      </c>
      <c r="F244" s="48">
        <f t="shared" si="71"/>
        <v>15774</v>
      </c>
      <c r="G244" s="48">
        <f>42.3+43.2</f>
        <v>85.5</v>
      </c>
      <c r="H244" s="48"/>
      <c r="I244" s="48">
        <f t="shared" si="72"/>
        <v>15859.5</v>
      </c>
      <c r="J244" s="48">
        <f>106.1+67.9</f>
        <v>174</v>
      </c>
      <c r="K244" s="48"/>
      <c r="L244" s="48">
        <f t="shared" si="73"/>
        <v>16033.5</v>
      </c>
      <c r="M244" s="48"/>
      <c r="N244" s="48"/>
      <c r="O244" s="48">
        <f aca="true" t="shared" si="76" ref="O244:O256">L244+M244+N244</f>
        <v>16033.5</v>
      </c>
      <c r="P244" s="75"/>
      <c r="Q244" s="75"/>
      <c r="R244" s="75">
        <f t="shared" si="74"/>
        <v>16033.5</v>
      </c>
    </row>
    <row r="245" spans="1:18" ht="12.75" hidden="1">
      <c r="A245" s="8" t="s">
        <v>196</v>
      </c>
      <c r="B245" s="64"/>
      <c r="C245" s="48"/>
      <c r="D245" s="48"/>
      <c r="E245" s="48"/>
      <c r="F245" s="48">
        <f t="shared" si="71"/>
        <v>0</v>
      </c>
      <c r="G245" s="48"/>
      <c r="H245" s="48"/>
      <c r="I245" s="48">
        <f t="shared" si="72"/>
        <v>0</v>
      </c>
      <c r="J245" s="48"/>
      <c r="K245" s="48"/>
      <c r="L245" s="48">
        <f t="shared" si="73"/>
        <v>0</v>
      </c>
      <c r="M245" s="48"/>
      <c r="N245" s="48"/>
      <c r="O245" s="48">
        <f t="shared" si="76"/>
        <v>0</v>
      </c>
      <c r="P245" s="75"/>
      <c r="Q245" s="75"/>
      <c r="R245" s="75">
        <f t="shared" si="74"/>
        <v>0</v>
      </c>
    </row>
    <row r="246" spans="1:18" ht="12.75">
      <c r="A246" s="8" t="s">
        <v>278</v>
      </c>
      <c r="B246" s="64">
        <v>2100</v>
      </c>
      <c r="C246" s="48"/>
      <c r="D246" s="48"/>
      <c r="E246" s="48">
        <v>25172.3</v>
      </c>
      <c r="F246" s="48">
        <f t="shared" si="71"/>
        <v>25172.3</v>
      </c>
      <c r="G246" s="48">
        <f>128</f>
        <v>128</v>
      </c>
      <c r="H246" s="48"/>
      <c r="I246" s="48">
        <f t="shared" si="72"/>
        <v>25300.3</v>
      </c>
      <c r="J246" s="48">
        <v>234</v>
      </c>
      <c r="K246" s="48"/>
      <c r="L246" s="48">
        <f t="shared" si="73"/>
        <v>25534.3</v>
      </c>
      <c r="M246" s="48">
        <f>-234-128</f>
        <v>-362</v>
      </c>
      <c r="N246" s="48"/>
      <c r="O246" s="48">
        <f t="shared" si="76"/>
        <v>25172.3</v>
      </c>
      <c r="P246" s="75"/>
      <c r="Q246" s="75"/>
      <c r="R246" s="75">
        <f t="shared" si="74"/>
        <v>25172.3</v>
      </c>
    </row>
    <row r="247" spans="1:18" ht="12.75">
      <c r="A247" s="8" t="s">
        <v>297</v>
      </c>
      <c r="B247" s="64"/>
      <c r="C247" s="48"/>
      <c r="D247" s="48"/>
      <c r="E247" s="48"/>
      <c r="F247" s="48">
        <f t="shared" si="71"/>
        <v>0</v>
      </c>
      <c r="G247" s="48">
        <v>8044.1</v>
      </c>
      <c r="H247" s="48"/>
      <c r="I247" s="48">
        <f t="shared" si="72"/>
        <v>8044.1</v>
      </c>
      <c r="J247" s="48">
        <v>9608.9</v>
      </c>
      <c r="K247" s="48"/>
      <c r="L247" s="48">
        <f t="shared" si="73"/>
        <v>17653</v>
      </c>
      <c r="M247" s="48">
        <f>2983.6+4365.9</f>
        <v>7349.5</v>
      </c>
      <c r="N247" s="48"/>
      <c r="O247" s="48">
        <f t="shared" si="76"/>
        <v>25002.5</v>
      </c>
      <c r="P247" s="75">
        <f>5733.7+7098+2027.2+4610.2</f>
        <v>19469.100000000002</v>
      </c>
      <c r="Q247" s="75"/>
      <c r="R247" s="75">
        <f t="shared" si="74"/>
        <v>44471.600000000006</v>
      </c>
    </row>
    <row r="248" spans="1:18" ht="12.75">
      <c r="A248" s="17" t="s">
        <v>283</v>
      </c>
      <c r="B248" s="65">
        <v>4100</v>
      </c>
      <c r="C248" s="48"/>
      <c r="D248" s="48"/>
      <c r="E248" s="48">
        <v>4062.2</v>
      </c>
      <c r="F248" s="48">
        <f t="shared" si="71"/>
        <v>4062.2</v>
      </c>
      <c r="G248" s="48"/>
      <c r="H248" s="48"/>
      <c r="I248" s="48">
        <f t="shared" si="72"/>
        <v>4062.2</v>
      </c>
      <c r="J248" s="48"/>
      <c r="K248" s="48"/>
      <c r="L248" s="48">
        <f t="shared" si="73"/>
        <v>4062.2</v>
      </c>
      <c r="M248" s="48"/>
      <c r="N248" s="48"/>
      <c r="O248" s="48">
        <f t="shared" si="76"/>
        <v>4062.2</v>
      </c>
      <c r="P248" s="75"/>
      <c r="Q248" s="75"/>
      <c r="R248" s="75">
        <f t="shared" si="74"/>
        <v>4062.2</v>
      </c>
    </row>
    <row r="249" spans="1:18" ht="12.75" hidden="1">
      <c r="A249" s="17" t="s">
        <v>205</v>
      </c>
      <c r="B249" s="65"/>
      <c r="C249" s="48"/>
      <c r="D249" s="48"/>
      <c r="E249" s="48"/>
      <c r="F249" s="48">
        <f t="shared" si="71"/>
        <v>0</v>
      </c>
      <c r="G249" s="48"/>
      <c r="H249" s="48"/>
      <c r="I249" s="48">
        <f t="shared" si="72"/>
        <v>0</v>
      </c>
      <c r="J249" s="48"/>
      <c r="K249" s="48"/>
      <c r="L249" s="48">
        <f t="shared" si="73"/>
        <v>0</v>
      </c>
      <c r="M249" s="48"/>
      <c r="N249" s="48"/>
      <c r="O249" s="48">
        <f t="shared" si="76"/>
        <v>0</v>
      </c>
      <c r="P249" s="75"/>
      <c r="Q249" s="75"/>
      <c r="R249" s="75">
        <f t="shared" si="74"/>
        <v>0</v>
      </c>
    </row>
    <row r="250" spans="1:18" ht="12.75">
      <c r="A250" s="17" t="s">
        <v>279</v>
      </c>
      <c r="B250" s="65">
        <v>2200</v>
      </c>
      <c r="C250" s="48"/>
      <c r="D250" s="48"/>
      <c r="E250" s="48">
        <v>7140</v>
      </c>
      <c r="F250" s="48">
        <f t="shared" si="71"/>
        <v>7140</v>
      </c>
      <c r="G250" s="48"/>
      <c r="H250" s="48"/>
      <c r="I250" s="48">
        <f t="shared" si="72"/>
        <v>7140</v>
      </c>
      <c r="J250" s="48"/>
      <c r="K250" s="48"/>
      <c r="L250" s="48">
        <f t="shared" si="73"/>
        <v>7140</v>
      </c>
      <c r="M250" s="48"/>
      <c r="N250" s="48"/>
      <c r="O250" s="48">
        <f t="shared" si="76"/>
        <v>7140</v>
      </c>
      <c r="P250" s="75"/>
      <c r="Q250" s="75"/>
      <c r="R250" s="75">
        <f t="shared" si="74"/>
        <v>7140</v>
      </c>
    </row>
    <row r="251" spans="1:18" ht="12.75">
      <c r="A251" s="17" t="s">
        <v>303</v>
      </c>
      <c r="B251" s="65"/>
      <c r="C251" s="48"/>
      <c r="D251" s="48"/>
      <c r="E251" s="48"/>
      <c r="F251" s="48">
        <f t="shared" si="71"/>
        <v>0</v>
      </c>
      <c r="G251" s="48">
        <v>3968.6</v>
      </c>
      <c r="H251" s="48"/>
      <c r="I251" s="48">
        <f t="shared" si="72"/>
        <v>3968.6</v>
      </c>
      <c r="J251" s="48">
        <v>2582.3</v>
      </c>
      <c r="K251" s="48"/>
      <c r="L251" s="48">
        <f t="shared" si="73"/>
        <v>6550.9</v>
      </c>
      <c r="M251" s="48">
        <f>916.8+2290.3+1239.5</f>
        <v>4446.6</v>
      </c>
      <c r="N251" s="48"/>
      <c r="O251" s="48">
        <f t="shared" si="76"/>
        <v>10997.5</v>
      </c>
      <c r="P251" s="75">
        <f>1330.8+717.7+3123.5</f>
        <v>5172</v>
      </c>
      <c r="Q251" s="75"/>
      <c r="R251" s="75">
        <f t="shared" si="74"/>
        <v>16169.5</v>
      </c>
    </row>
    <row r="252" spans="1:18" ht="12.75">
      <c r="A252" s="17" t="s">
        <v>284</v>
      </c>
      <c r="B252" s="65">
        <v>4200</v>
      </c>
      <c r="C252" s="48"/>
      <c r="D252" s="48"/>
      <c r="E252" s="48">
        <v>19682.6</v>
      </c>
      <c r="F252" s="48">
        <f t="shared" si="71"/>
        <v>19682.6</v>
      </c>
      <c r="G252" s="48"/>
      <c r="H252" s="48"/>
      <c r="I252" s="48">
        <f t="shared" si="72"/>
        <v>19682.6</v>
      </c>
      <c r="J252" s="48">
        <f>759.9+7.4</f>
        <v>767.3</v>
      </c>
      <c r="K252" s="48"/>
      <c r="L252" s="48">
        <f t="shared" si="73"/>
        <v>20449.899999999998</v>
      </c>
      <c r="M252" s="48"/>
      <c r="N252" s="48"/>
      <c r="O252" s="48">
        <f t="shared" si="76"/>
        <v>20449.899999999998</v>
      </c>
      <c r="P252" s="75"/>
      <c r="Q252" s="75"/>
      <c r="R252" s="75">
        <f t="shared" si="74"/>
        <v>20449.899999999998</v>
      </c>
    </row>
    <row r="253" spans="1:18" ht="12.75" hidden="1">
      <c r="A253" s="17" t="s">
        <v>195</v>
      </c>
      <c r="B253" s="65"/>
      <c r="C253" s="48"/>
      <c r="D253" s="48"/>
      <c r="E253" s="48"/>
      <c r="F253" s="48">
        <f t="shared" si="71"/>
        <v>0</v>
      </c>
      <c r="G253" s="48"/>
      <c r="H253" s="48"/>
      <c r="I253" s="48">
        <f t="shared" si="72"/>
        <v>0</v>
      </c>
      <c r="J253" s="48"/>
      <c r="K253" s="48"/>
      <c r="L253" s="48">
        <f t="shared" si="73"/>
        <v>0</v>
      </c>
      <c r="M253" s="48"/>
      <c r="N253" s="48"/>
      <c r="O253" s="48">
        <f t="shared" si="76"/>
        <v>0</v>
      </c>
      <c r="P253" s="75"/>
      <c r="Q253" s="75"/>
      <c r="R253" s="75">
        <f t="shared" si="74"/>
        <v>0</v>
      </c>
    </row>
    <row r="254" spans="1:18" ht="12.75">
      <c r="A254" s="17" t="s">
        <v>280</v>
      </c>
      <c r="B254" s="65">
        <v>2300</v>
      </c>
      <c r="C254" s="48"/>
      <c r="D254" s="48"/>
      <c r="E254" s="48">
        <v>10291.4</v>
      </c>
      <c r="F254" s="48">
        <f t="shared" si="71"/>
        <v>10291.4</v>
      </c>
      <c r="G254" s="48">
        <v>59</v>
      </c>
      <c r="H254" s="48"/>
      <c r="I254" s="48">
        <f t="shared" si="72"/>
        <v>10350.4</v>
      </c>
      <c r="J254" s="48">
        <v>10</v>
      </c>
      <c r="K254" s="48"/>
      <c r="L254" s="48">
        <f t="shared" si="73"/>
        <v>10360.4</v>
      </c>
      <c r="M254" s="48"/>
      <c r="N254" s="48"/>
      <c r="O254" s="48">
        <f t="shared" si="76"/>
        <v>10360.4</v>
      </c>
      <c r="P254" s="75"/>
      <c r="Q254" s="75"/>
      <c r="R254" s="75">
        <f t="shared" si="74"/>
        <v>10360.4</v>
      </c>
    </row>
    <row r="255" spans="1:18" ht="12.75">
      <c r="A255" s="17" t="s">
        <v>296</v>
      </c>
      <c r="B255" s="65"/>
      <c r="C255" s="48"/>
      <c r="D255" s="48"/>
      <c r="E255" s="48"/>
      <c r="F255" s="48">
        <f t="shared" si="71"/>
        <v>0</v>
      </c>
      <c r="G255" s="48">
        <v>2320.8</v>
      </c>
      <c r="H255" s="48"/>
      <c r="I255" s="48">
        <f t="shared" si="72"/>
        <v>2320.8</v>
      </c>
      <c r="J255" s="48">
        <v>2328</v>
      </c>
      <c r="K255" s="48"/>
      <c r="L255" s="48">
        <f t="shared" si="73"/>
        <v>4648.8</v>
      </c>
      <c r="M255" s="48">
        <f>2638.3+562.5+1752.1</f>
        <v>4952.9</v>
      </c>
      <c r="N255" s="48"/>
      <c r="O255" s="48">
        <f t="shared" si="76"/>
        <v>9601.7</v>
      </c>
      <c r="P255" s="75">
        <f>5112.9+301.7+1464.7</f>
        <v>6879.299999999999</v>
      </c>
      <c r="Q255" s="75"/>
      <c r="R255" s="75">
        <f t="shared" si="74"/>
        <v>16481</v>
      </c>
    </row>
    <row r="256" spans="1:18" ht="12.75">
      <c r="A256" s="17" t="s">
        <v>103</v>
      </c>
      <c r="B256" s="65"/>
      <c r="C256" s="48">
        <v>800</v>
      </c>
      <c r="D256" s="48"/>
      <c r="E256" s="48">
        <v>14.9</v>
      </c>
      <c r="F256" s="48">
        <f t="shared" si="71"/>
        <v>814.9</v>
      </c>
      <c r="G256" s="48"/>
      <c r="H256" s="48"/>
      <c r="I256" s="48">
        <f t="shared" si="72"/>
        <v>814.9</v>
      </c>
      <c r="J256" s="48"/>
      <c r="K256" s="48"/>
      <c r="L256" s="48">
        <f t="shared" si="73"/>
        <v>814.9</v>
      </c>
      <c r="M256" s="48"/>
      <c r="N256" s="48"/>
      <c r="O256" s="48">
        <f t="shared" si="76"/>
        <v>814.9</v>
      </c>
      <c r="P256" s="75">
        <v>12101</v>
      </c>
      <c r="Q256" s="75"/>
      <c r="R256" s="75">
        <f t="shared" si="74"/>
        <v>12915.9</v>
      </c>
    </row>
    <row r="257" spans="1:18" ht="12.75">
      <c r="A257" s="15" t="s">
        <v>75</v>
      </c>
      <c r="B257" s="67"/>
      <c r="C257" s="53">
        <f aca="true" t="shared" si="77" ref="C257:R257">SUM(C259:C273)</f>
        <v>0</v>
      </c>
      <c r="D257" s="53">
        <f t="shared" si="77"/>
        <v>0</v>
      </c>
      <c r="E257" s="53">
        <f t="shared" si="77"/>
        <v>7418.3</v>
      </c>
      <c r="F257" s="53">
        <f t="shared" si="77"/>
        <v>7418.3</v>
      </c>
      <c r="G257" s="53">
        <f t="shared" si="77"/>
        <v>26.1</v>
      </c>
      <c r="H257" s="53">
        <f t="shared" si="77"/>
        <v>0</v>
      </c>
      <c r="I257" s="53">
        <f t="shared" si="77"/>
        <v>7444.4</v>
      </c>
      <c r="J257" s="53">
        <f t="shared" si="77"/>
        <v>4.9</v>
      </c>
      <c r="K257" s="53">
        <f t="shared" si="77"/>
        <v>0</v>
      </c>
      <c r="L257" s="53">
        <f t="shared" si="77"/>
        <v>7449.299999999999</v>
      </c>
      <c r="M257" s="53">
        <f t="shared" si="77"/>
        <v>433.2</v>
      </c>
      <c r="N257" s="53">
        <f t="shared" si="77"/>
        <v>0</v>
      </c>
      <c r="O257" s="53">
        <f t="shared" si="77"/>
        <v>7882.499999999999</v>
      </c>
      <c r="P257" s="53">
        <f t="shared" si="77"/>
        <v>10904.4</v>
      </c>
      <c r="Q257" s="53">
        <f t="shared" si="77"/>
        <v>0</v>
      </c>
      <c r="R257" s="53">
        <f t="shared" si="77"/>
        <v>18786.9</v>
      </c>
    </row>
    <row r="258" spans="1:18" ht="12.75">
      <c r="A258" s="17" t="s">
        <v>38</v>
      </c>
      <c r="B258" s="65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75"/>
      <c r="Q258" s="75"/>
      <c r="R258" s="75"/>
    </row>
    <row r="259" spans="1:18" ht="12.75">
      <c r="A259" s="8" t="s">
        <v>383</v>
      </c>
      <c r="B259" s="64">
        <v>3800</v>
      </c>
      <c r="C259" s="48"/>
      <c r="D259" s="48"/>
      <c r="E259" s="48"/>
      <c r="F259" s="48">
        <f aca="true" t="shared" si="78" ref="F259:F273">C259+D259+E259</f>
        <v>0</v>
      </c>
      <c r="G259" s="48"/>
      <c r="H259" s="48"/>
      <c r="I259" s="48">
        <f aca="true" t="shared" si="79" ref="I259:I273">F259+G259+H259</f>
        <v>0</v>
      </c>
      <c r="J259" s="48"/>
      <c r="K259" s="48"/>
      <c r="L259" s="48">
        <f aca="true" t="shared" si="80" ref="L259:L273">I259+J259+K259</f>
        <v>0</v>
      </c>
      <c r="M259" s="48"/>
      <c r="N259" s="48"/>
      <c r="O259" s="48">
        <f aca="true" t="shared" si="81" ref="O259:O273">L259+M259+N259</f>
        <v>0</v>
      </c>
      <c r="P259" s="75">
        <v>5000</v>
      </c>
      <c r="Q259" s="75"/>
      <c r="R259" s="75">
        <f>O259+P259+Q259</f>
        <v>5000</v>
      </c>
    </row>
    <row r="260" spans="1:18" ht="12.75" hidden="1">
      <c r="A260" s="17" t="s">
        <v>112</v>
      </c>
      <c r="B260" s="65"/>
      <c r="C260" s="48"/>
      <c r="D260" s="48"/>
      <c r="E260" s="48"/>
      <c r="F260" s="48">
        <f t="shared" si="78"/>
        <v>0</v>
      </c>
      <c r="G260" s="48"/>
      <c r="H260" s="48"/>
      <c r="I260" s="48">
        <f t="shared" si="79"/>
        <v>0</v>
      </c>
      <c r="J260" s="48"/>
      <c r="K260" s="48"/>
      <c r="L260" s="48">
        <f t="shared" si="80"/>
        <v>0</v>
      </c>
      <c r="M260" s="48"/>
      <c r="N260" s="48"/>
      <c r="O260" s="48">
        <f t="shared" si="81"/>
        <v>0</v>
      </c>
      <c r="P260" s="75"/>
      <c r="Q260" s="75"/>
      <c r="R260" s="75">
        <f aca="true" t="shared" si="82" ref="R260:R273">O260+P260+Q260</f>
        <v>0</v>
      </c>
    </row>
    <row r="261" spans="1:18" ht="12.75" hidden="1">
      <c r="A261" s="7" t="s">
        <v>111</v>
      </c>
      <c r="B261" s="66"/>
      <c r="C261" s="48"/>
      <c r="D261" s="48"/>
      <c r="E261" s="48"/>
      <c r="F261" s="48">
        <f t="shared" si="78"/>
        <v>0</v>
      </c>
      <c r="G261" s="48"/>
      <c r="H261" s="48"/>
      <c r="I261" s="48">
        <f t="shared" si="79"/>
        <v>0</v>
      </c>
      <c r="J261" s="48"/>
      <c r="K261" s="48"/>
      <c r="L261" s="48">
        <f t="shared" si="80"/>
        <v>0</v>
      </c>
      <c r="M261" s="48"/>
      <c r="N261" s="48"/>
      <c r="O261" s="48">
        <f t="shared" si="81"/>
        <v>0</v>
      </c>
      <c r="P261" s="75"/>
      <c r="Q261" s="75"/>
      <c r="R261" s="75">
        <f t="shared" si="82"/>
        <v>0</v>
      </c>
    </row>
    <row r="262" spans="1:18" ht="12.75" hidden="1">
      <c r="A262" s="8" t="s">
        <v>113</v>
      </c>
      <c r="B262" s="64"/>
      <c r="C262" s="48"/>
      <c r="D262" s="48"/>
      <c r="E262" s="48"/>
      <c r="F262" s="48">
        <f t="shared" si="78"/>
        <v>0</v>
      </c>
      <c r="G262" s="48"/>
      <c r="H262" s="48"/>
      <c r="I262" s="48">
        <f t="shared" si="79"/>
        <v>0</v>
      </c>
      <c r="J262" s="48"/>
      <c r="K262" s="48"/>
      <c r="L262" s="48">
        <f t="shared" si="80"/>
        <v>0</v>
      </c>
      <c r="M262" s="48"/>
      <c r="N262" s="48"/>
      <c r="O262" s="48">
        <f t="shared" si="81"/>
        <v>0</v>
      </c>
      <c r="P262" s="75"/>
      <c r="Q262" s="75"/>
      <c r="R262" s="75">
        <f t="shared" si="82"/>
        <v>0</v>
      </c>
    </row>
    <row r="263" spans="1:18" ht="12.75">
      <c r="A263" s="17" t="s">
        <v>287</v>
      </c>
      <c r="B263" s="65">
        <v>5100</v>
      </c>
      <c r="C263" s="48"/>
      <c r="D263" s="48"/>
      <c r="E263" s="48">
        <v>1255.2</v>
      </c>
      <c r="F263" s="48">
        <f t="shared" si="78"/>
        <v>1255.2</v>
      </c>
      <c r="G263" s="48"/>
      <c r="H263" s="48"/>
      <c r="I263" s="48">
        <f t="shared" si="79"/>
        <v>1255.2</v>
      </c>
      <c r="J263" s="48"/>
      <c r="K263" s="48"/>
      <c r="L263" s="48">
        <f t="shared" si="80"/>
        <v>1255.2</v>
      </c>
      <c r="M263" s="48">
        <v>58</v>
      </c>
      <c r="N263" s="48"/>
      <c r="O263" s="48">
        <f t="shared" si="81"/>
        <v>1313.2</v>
      </c>
      <c r="P263" s="75">
        <v>5</v>
      </c>
      <c r="Q263" s="75"/>
      <c r="R263" s="75">
        <f t="shared" si="82"/>
        <v>1318.2</v>
      </c>
    </row>
    <row r="264" spans="1:18" ht="12.75">
      <c r="A264" s="17" t="s">
        <v>281</v>
      </c>
      <c r="B264" s="65">
        <v>4000</v>
      </c>
      <c r="C264" s="48"/>
      <c r="D264" s="48"/>
      <c r="E264" s="48">
        <v>2229.9</v>
      </c>
      <c r="F264" s="48">
        <f t="shared" si="78"/>
        <v>2229.9</v>
      </c>
      <c r="G264" s="48"/>
      <c r="H264" s="48"/>
      <c r="I264" s="48">
        <f t="shared" si="79"/>
        <v>2229.9</v>
      </c>
      <c r="J264" s="48"/>
      <c r="K264" s="48"/>
      <c r="L264" s="48">
        <f t="shared" si="80"/>
        <v>2229.9</v>
      </c>
      <c r="M264" s="48"/>
      <c r="N264" s="48"/>
      <c r="O264" s="48">
        <f t="shared" si="81"/>
        <v>2229.9</v>
      </c>
      <c r="P264" s="75"/>
      <c r="Q264" s="75"/>
      <c r="R264" s="75">
        <f t="shared" si="82"/>
        <v>2229.9</v>
      </c>
    </row>
    <row r="265" spans="1:18" ht="12.75">
      <c r="A265" s="8" t="s">
        <v>278</v>
      </c>
      <c r="B265" s="64">
        <v>2100</v>
      </c>
      <c r="C265" s="48"/>
      <c r="D265" s="48"/>
      <c r="E265" s="48">
        <v>353.9</v>
      </c>
      <c r="F265" s="48">
        <f t="shared" si="78"/>
        <v>353.9</v>
      </c>
      <c r="G265" s="48"/>
      <c r="H265" s="48"/>
      <c r="I265" s="48">
        <f t="shared" si="79"/>
        <v>353.9</v>
      </c>
      <c r="J265" s="48"/>
      <c r="K265" s="48"/>
      <c r="L265" s="48">
        <f t="shared" si="80"/>
        <v>353.9</v>
      </c>
      <c r="M265" s="48">
        <f>234+128</f>
        <v>362</v>
      </c>
      <c r="N265" s="48"/>
      <c r="O265" s="48">
        <f t="shared" si="81"/>
        <v>715.9</v>
      </c>
      <c r="P265" s="75">
        <v>0.4</v>
      </c>
      <c r="Q265" s="75"/>
      <c r="R265" s="75">
        <f t="shared" si="82"/>
        <v>716.3</v>
      </c>
    </row>
    <row r="266" spans="1:18" ht="12.75">
      <c r="A266" s="8" t="s">
        <v>297</v>
      </c>
      <c r="B266" s="64"/>
      <c r="C266" s="48"/>
      <c r="D266" s="48"/>
      <c r="E266" s="48"/>
      <c r="F266" s="48">
        <f t="shared" si="78"/>
        <v>0</v>
      </c>
      <c r="G266" s="48">
        <v>26.1</v>
      </c>
      <c r="H266" s="48"/>
      <c r="I266" s="48">
        <f t="shared" si="79"/>
        <v>26.1</v>
      </c>
      <c r="J266" s="48"/>
      <c r="K266" s="48"/>
      <c r="L266" s="48">
        <f t="shared" si="80"/>
        <v>26.1</v>
      </c>
      <c r="M266" s="48"/>
      <c r="N266" s="48"/>
      <c r="O266" s="48">
        <f t="shared" si="81"/>
        <v>26.1</v>
      </c>
      <c r="P266" s="75"/>
      <c r="Q266" s="75"/>
      <c r="R266" s="75">
        <f t="shared" si="82"/>
        <v>26.1</v>
      </c>
    </row>
    <row r="267" spans="1:18" ht="12.75">
      <c r="A267" s="17" t="s">
        <v>285</v>
      </c>
      <c r="B267" s="65">
        <v>4100</v>
      </c>
      <c r="C267" s="48"/>
      <c r="D267" s="48"/>
      <c r="E267" s="48">
        <v>1732.9</v>
      </c>
      <c r="F267" s="48">
        <f t="shared" si="78"/>
        <v>1732.9</v>
      </c>
      <c r="G267" s="48"/>
      <c r="H267" s="48"/>
      <c r="I267" s="48">
        <f t="shared" si="79"/>
        <v>1732.9</v>
      </c>
      <c r="J267" s="48"/>
      <c r="K267" s="48"/>
      <c r="L267" s="48">
        <f t="shared" si="80"/>
        <v>1732.9</v>
      </c>
      <c r="M267" s="48"/>
      <c r="N267" s="48"/>
      <c r="O267" s="48">
        <f t="shared" si="81"/>
        <v>1732.9</v>
      </c>
      <c r="P267" s="75"/>
      <c r="Q267" s="75"/>
      <c r="R267" s="75">
        <f t="shared" si="82"/>
        <v>1732.9</v>
      </c>
    </row>
    <row r="268" spans="1:18" ht="12.75">
      <c r="A268" s="17" t="s">
        <v>279</v>
      </c>
      <c r="B268" s="65">
        <v>2200</v>
      </c>
      <c r="C268" s="48"/>
      <c r="D268" s="48"/>
      <c r="E268" s="48">
        <v>2.4</v>
      </c>
      <c r="F268" s="48">
        <f t="shared" si="78"/>
        <v>2.4</v>
      </c>
      <c r="G268" s="48"/>
      <c r="H268" s="48"/>
      <c r="I268" s="48">
        <f t="shared" si="79"/>
        <v>2.4</v>
      </c>
      <c r="J268" s="48"/>
      <c r="K268" s="48"/>
      <c r="L268" s="48">
        <f t="shared" si="80"/>
        <v>2.4</v>
      </c>
      <c r="M268" s="48"/>
      <c r="N268" s="48"/>
      <c r="O268" s="48">
        <f t="shared" si="81"/>
        <v>2.4</v>
      </c>
      <c r="P268" s="75"/>
      <c r="Q268" s="75"/>
      <c r="R268" s="75">
        <f t="shared" si="82"/>
        <v>2.4</v>
      </c>
    </row>
    <row r="269" spans="1:18" ht="12.75">
      <c r="A269" s="17" t="s">
        <v>286</v>
      </c>
      <c r="B269" s="65">
        <v>4200</v>
      </c>
      <c r="C269" s="48"/>
      <c r="D269" s="48"/>
      <c r="E269" s="48">
        <v>1785</v>
      </c>
      <c r="F269" s="48">
        <f t="shared" si="78"/>
        <v>1785</v>
      </c>
      <c r="G269" s="48"/>
      <c r="H269" s="48"/>
      <c r="I269" s="48">
        <f t="shared" si="79"/>
        <v>1785</v>
      </c>
      <c r="J269" s="48">
        <f>4.9</f>
        <v>4.9</v>
      </c>
      <c r="K269" s="48"/>
      <c r="L269" s="48">
        <f t="shared" si="80"/>
        <v>1789.9</v>
      </c>
      <c r="M269" s="48"/>
      <c r="N269" s="48"/>
      <c r="O269" s="48">
        <f t="shared" si="81"/>
        <v>1789.9</v>
      </c>
      <c r="P269" s="75"/>
      <c r="Q269" s="75"/>
      <c r="R269" s="75">
        <f t="shared" si="82"/>
        <v>1789.9</v>
      </c>
    </row>
    <row r="270" spans="1:18" ht="12.75">
      <c r="A270" s="17" t="s">
        <v>280</v>
      </c>
      <c r="B270" s="65">
        <v>2300</v>
      </c>
      <c r="C270" s="48"/>
      <c r="D270" s="48"/>
      <c r="E270" s="48">
        <v>59</v>
      </c>
      <c r="F270" s="48">
        <f t="shared" si="78"/>
        <v>59</v>
      </c>
      <c r="G270" s="48"/>
      <c r="H270" s="48"/>
      <c r="I270" s="48">
        <f t="shared" si="79"/>
        <v>59</v>
      </c>
      <c r="J270" s="48"/>
      <c r="K270" s="48"/>
      <c r="L270" s="48">
        <f t="shared" si="80"/>
        <v>59</v>
      </c>
      <c r="M270" s="48">
        <f>10+3.2</f>
        <v>13.2</v>
      </c>
      <c r="N270" s="48"/>
      <c r="O270" s="48">
        <f t="shared" si="81"/>
        <v>72.2</v>
      </c>
      <c r="P270" s="75"/>
      <c r="Q270" s="75"/>
      <c r="R270" s="75">
        <f t="shared" si="82"/>
        <v>72.2</v>
      </c>
    </row>
    <row r="271" spans="1:18" ht="12.75" hidden="1">
      <c r="A271" s="8" t="s">
        <v>92</v>
      </c>
      <c r="B271" s="64"/>
      <c r="C271" s="48"/>
      <c r="D271" s="48"/>
      <c r="E271" s="48"/>
      <c r="F271" s="48">
        <f t="shared" si="78"/>
        <v>0</v>
      </c>
      <c r="G271" s="48"/>
      <c r="H271" s="48"/>
      <c r="I271" s="48">
        <f t="shared" si="79"/>
        <v>0</v>
      </c>
      <c r="J271" s="48"/>
      <c r="K271" s="48"/>
      <c r="L271" s="48">
        <f t="shared" si="80"/>
        <v>0</v>
      </c>
      <c r="M271" s="48"/>
      <c r="N271" s="48"/>
      <c r="O271" s="48">
        <f t="shared" si="81"/>
        <v>0</v>
      </c>
      <c r="P271" s="75"/>
      <c r="Q271" s="75"/>
      <c r="R271" s="75">
        <f t="shared" si="82"/>
        <v>0</v>
      </c>
    </row>
    <row r="272" spans="1:18" ht="12.75" hidden="1">
      <c r="A272" s="8" t="s">
        <v>76</v>
      </c>
      <c r="B272" s="64"/>
      <c r="C272" s="48"/>
      <c r="D272" s="48"/>
      <c r="E272" s="48"/>
      <c r="F272" s="48">
        <f t="shared" si="78"/>
        <v>0</v>
      </c>
      <c r="G272" s="48"/>
      <c r="H272" s="48"/>
      <c r="I272" s="48">
        <f t="shared" si="79"/>
        <v>0</v>
      </c>
      <c r="J272" s="48"/>
      <c r="K272" s="48"/>
      <c r="L272" s="48">
        <f t="shared" si="80"/>
        <v>0</v>
      </c>
      <c r="M272" s="48"/>
      <c r="N272" s="48"/>
      <c r="O272" s="48">
        <f t="shared" si="81"/>
        <v>0</v>
      </c>
      <c r="P272" s="75"/>
      <c r="Q272" s="75"/>
      <c r="R272" s="75">
        <f t="shared" si="82"/>
        <v>0</v>
      </c>
    </row>
    <row r="273" spans="1:18" ht="12.75">
      <c r="A273" s="11" t="s">
        <v>104</v>
      </c>
      <c r="B273" s="68"/>
      <c r="C273" s="52"/>
      <c r="D273" s="52"/>
      <c r="E273" s="52"/>
      <c r="F273" s="52">
        <f t="shared" si="78"/>
        <v>0</v>
      </c>
      <c r="G273" s="52"/>
      <c r="H273" s="52"/>
      <c r="I273" s="52">
        <f t="shared" si="79"/>
        <v>0</v>
      </c>
      <c r="J273" s="52"/>
      <c r="K273" s="52"/>
      <c r="L273" s="52">
        <f t="shared" si="80"/>
        <v>0</v>
      </c>
      <c r="M273" s="52"/>
      <c r="N273" s="52"/>
      <c r="O273" s="52">
        <f t="shared" si="81"/>
        <v>0</v>
      </c>
      <c r="P273" s="85">
        <v>5899</v>
      </c>
      <c r="Q273" s="85"/>
      <c r="R273" s="85">
        <f t="shared" si="82"/>
        <v>5899</v>
      </c>
    </row>
    <row r="274" spans="1:18" ht="12.75">
      <c r="A274" s="5" t="s">
        <v>114</v>
      </c>
      <c r="B274" s="5"/>
      <c r="C274" s="47">
        <f aca="true" t="shared" si="83" ref="C274:O274">C275+C319</f>
        <v>346639</v>
      </c>
      <c r="D274" s="47">
        <f t="shared" si="83"/>
        <v>0</v>
      </c>
      <c r="E274" s="47">
        <f t="shared" si="83"/>
        <v>0</v>
      </c>
      <c r="F274" s="47">
        <f t="shared" si="83"/>
        <v>346639</v>
      </c>
      <c r="G274" s="47">
        <f t="shared" si="83"/>
        <v>4359865.9</v>
      </c>
      <c r="H274" s="47">
        <f t="shared" si="83"/>
        <v>-2490.0999999999995</v>
      </c>
      <c r="I274" s="47">
        <f t="shared" si="83"/>
        <v>4704014.8</v>
      </c>
      <c r="J274" s="47">
        <f t="shared" si="83"/>
        <v>71972.90000000001</v>
      </c>
      <c r="K274" s="47">
        <f t="shared" si="83"/>
        <v>2092.5</v>
      </c>
      <c r="L274" s="47">
        <f t="shared" si="83"/>
        <v>4778080.199999999</v>
      </c>
      <c r="M274" s="47">
        <f t="shared" si="83"/>
        <v>63310.100000000006</v>
      </c>
      <c r="N274" s="47">
        <f t="shared" si="83"/>
        <v>793.1000000000004</v>
      </c>
      <c r="O274" s="47">
        <f t="shared" si="83"/>
        <v>4842183.399999999</v>
      </c>
      <c r="P274" s="47">
        <f>P275+P319</f>
        <v>49620.70000000001</v>
      </c>
      <c r="Q274" s="47">
        <f>Q275+Q319</f>
        <v>0</v>
      </c>
      <c r="R274" s="47">
        <f>R275+R319</f>
        <v>4891804.1</v>
      </c>
    </row>
    <row r="275" spans="1:18" ht="12.75">
      <c r="A275" s="14" t="s">
        <v>69</v>
      </c>
      <c r="B275" s="14"/>
      <c r="C275" s="51">
        <f aca="true" t="shared" si="84" ref="C275:O275">SUM(C277:C318)</f>
        <v>346639</v>
      </c>
      <c r="D275" s="51">
        <f t="shared" si="84"/>
        <v>0</v>
      </c>
      <c r="E275" s="51">
        <f t="shared" si="84"/>
        <v>0</v>
      </c>
      <c r="F275" s="51">
        <f t="shared" si="84"/>
        <v>346639</v>
      </c>
      <c r="G275" s="51">
        <f t="shared" si="84"/>
        <v>4359865.9</v>
      </c>
      <c r="H275" s="51">
        <f t="shared" si="84"/>
        <v>-2490.0999999999995</v>
      </c>
      <c r="I275" s="51">
        <f t="shared" si="84"/>
        <v>4704014.8</v>
      </c>
      <c r="J275" s="51">
        <f t="shared" si="84"/>
        <v>71972.90000000001</v>
      </c>
      <c r="K275" s="51">
        <f t="shared" si="84"/>
        <v>2092.5</v>
      </c>
      <c r="L275" s="51">
        <f t="shared" si="84"/>
        <v>4778080.199999999</v>
      </c>
      <c r="M275" s="51">
        <f t="shared" si="84"/>
        <v>63310.100000000006</v>
      </c>
      <c r="N275" s="51">
        <f t="shared" si="84"/>
        <v>568.1000000000004</v>
      </c>
      <c r="O275" s="51">
        <f t="shared" si="84"/>
        <v>4841958.399999999</v>
      </c>
      <c r="P275" s="51">
        <f>SUM(P277:P318)</f>
        <v>47540.70000000001</v>
      </c>
      <c r="Q275" s="51">
        <f>SUM(Q277:Q318)</f>
        <v>0</v>
      </c>
      <c r="R275" s="51">
        <f>SUM(R277:R318)</f>
        <v>4889499.1</v>
      </c>
    </row>
    <row r="276" spans="1:18" ht="12.75">
      <c r="A276" s="6" t="s">
        <v>38</v>
      </c>
      <c r="B276" s="6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75"/>
      <c r="Q276" s="75"/>
      <c r="R276" s="75"/>
    </row>
    <row r="277" spans="1:18" ht="12.75">
      <c r="A277" s="12" t="s">
        <v>100</v>
      </c>
      <c r="B277" s="12"/>
      <c r="C277" s="48">
        <v>325745</v>
      </c>
      <c r="D277" s="48"/>
      <c r="E277" s="48"/>
      <c r="F277" s="48">
        <f>C277+D277+E277</f>
        <v>325745</v>
      </c>
      <c r="G277" s="48">
        <v>660</v>
      </c>
      <c r="H277" s="48">
        <v>1726.8</v>
      </c>
      <c r="I277" s="48">
        <f>F277+G277+H277</f>
        <v>328131.8</v>
      </c>
      <c r="J277" s="48">
        <v>400</v>
      </c>
      <c r="K277" s="48">
        <v>4525.8</v>
      </c>
      <c r="L277" s="48">
        <f>I277+J277+K277</f>
        <v>333057.6</v>
      </c>
      <c r="M277" s="48"/>
      <c r="N277" s="48">
        <v>5951.2</v>
      </c>
      <c r="O277" s="48">
        <f>L277+M277+N277</f>
        <v>339008.8</v>
      </c>
      <c r="P277" s="75">
        <v>1167.3</v>
      </c>
      <c r="Q277" s="75"/>
      <c r="R277" s="75">
        <f>O277+P277+Q277</f>
        <v>340176.1</v>
      </c>
    </row>
    <row r="278" spans="1:18" ht="12.75">
      <c r="A278" s="12" t="s">
        <v>115</v>
      </c>
      <c r="B278" s="12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75"/>
      <c r="Q278" s="75"/>
      <c r="R278" s="75"/>
    </row>
    <row r="279" spans="1:18" ht="12.75">
      <c r="A279" s="12" t="s">
        <v>116</v>
      </c>
      <c r="B279" s="12"/>
      <c r="C279" s="48"/>
      <c r="D279" s="48"/>
      <c r="E279" s="48"/>
      <c r="F279" s="48">
        <f aca="true" t="shared" si="85" ref="F279:F318">C279+D279+E279</f>
        <v>0</v>
      </c>
      <c r="G279" s="48">
        <v>1546420</v>
      </c>
      <c r="H279" s="48"/>
      <c r="I279" s="48">
        <f aca="true" t="shared" si="86" ref="I279:I318">F279+G279+H279</f>
        <v>1546420</v>
      </c>
      <c r="J279" s="48"/>
      <c r="K279" s="48"/>
      <c r="L279" s="48">
        <f aca="true" t="shared" si="87" ref="L279:L318">I279+J279+K279</f>
        <v>1546420</v>
      </c>
      <c r="M279" s="48"/>
      <c r="N279" s="48"/>
      <c r="O279" s="48">
        <f aca="true" t="shared" si="88" ref="O279:O318">L279+M279+N279</f>
        <v>1546420</v>
      </c>
      <c r="P279" s="75">
        <v>-3043.3</v>
      </c>
      <c r="Q279" s="75"/>
      <c r="R279" s="75">
        <f>O279+P279+Q279</f>
        <v>1543376.7</v>
      </c>
    </row>
    <row r="280" spans="1:18" ht="12.75">
      <c r="A280" s="12" t="s">
        <v>117</v>
      </c>
      <c r="B280" s="12"/>
      <c r="C280" s="48"/>
      <c r="D280" s="48"/>
      <c r="E280" s="48"/>
      <c r="F280" s="48">
        <f t="shared" si="85"/>
        <v>0</v>
      </c>
      <c r="G280" s="48">
        <v>48790</v>
      </c>
      <c r="H280" s="48"/>
      <c r="I280" s="48">
        <f t="shared" si="86"/>
        <v>48790</v>
      </c>
      <c r="J280" s="48">
        <v>48160</v>
      </c>
      <c r="K280" s="48"/>
      <c r="L280" s="48">
        <f t="shared" si="87"/>
        <v>96950</v>
      </c>
      <c r="M280" s="48">
        <v>48470</v>
      </c>
      <c r="N280" s="48"/>
      <c r="O280" s="48">
        <f t="shared" si="88"/>
        <v>145420</v>
      </c>
      <c r="P280" s="75">
        <v>44930</v>
      </c>
      <c r="Q280" s="75"/>
      <c r="R280" s="75">
        <f aca="true" t="shared" si="89" ref="R280:R318">O280+P280+Q280</f>
        <v>190350</v>
      </c>
    </row>
    <row r="281" spans="1:18" ht="12.75">
      <c r="A281" s="12" t="s">
        <v>118</v>
      </c>
      <c r="B281" s="12"/>
      <c r="C281" s="48"/>
      <c r="D281" s="55"/>
      <c r="E281" s="48"/>
      <c r="F281" s="48">
        <f t="shared" si="85"/>
        <v>0</v>
      </c>
      <c r="G281" s="48">
        <v>2753069</v>
      </c>
      <c r="H281" s="48"/>
      <c r="I281" s="48">
        <f t="shared" si="86"/>
        <v>2753069</v>
      </c>
      <c r="J281" s="48"/>
      <c r="K281" s="48"/>
      <c r="L281" s="48">
        <f t="shared" si="87"/>
        <v>2753069</v>
      </c>
      <c r="M281" s="48"/>
      <c r="N281" s="48"/>
      <c r="O281" s="48">
        <f t="shared" si="88"/>
        <v>2753069</v>
      </c>
      <c r="P281" s="75">
        <v>3043.3</v>
      </c>
      <c r="Q281" s="75"/>
      <c r="R281" s="75">
        <f t="shared" si="89"/>
        <v>2756112.3</v>
      </c>
    </row>
    <row r="282" spans="1:20" ht="12.75">
      <c r="A282" s="12" t="s">
        <v>119</v>
      </c>
      <c r="B282" s="70">
        <v>33122</v>
      </c>
      <c r="C282" s="48"/>
      <c r="D282" s="48"/>
      <c r="E282" s="48"/>
      <c r="F282" s="48">
        <f t="shared" si="85"/>
        <v>0</v>
      </c>
      <c r="G282" s="48"/>
      <c r="H282" s="48"/>
      <c r="I282" s="48">
        <f t="shared" si="86"/>
        <v>0</v>
      </c>
      <c r="J282" s="48">
        <v>296.7</v>
      </c>
      <c r="K282" s="48"/>
      <c r="L282" s="48">
        <f t="shared" si="87"/>
        <v>296.7</v>
      </c>
      <c r="M282" s="48"/>
      <c r="N282" s="48"/>
      <c r="O282" s="48">
        <f t="shared" si="88"/>
        <v>296.7</v>
      </c>
      <c r="P282" s="75"/>
      <c r="Q282" s="75"/>
      <c r="R282" s="75">
        <f t="shared" si="89"/>
        <v>296.7</v>
      </c>
      <c r="T282" s="32"/>
    </row>
    <row r="283" spans="1:18" ht="12.75">
      <c r="A283" s="12" t="s">
        <v>384</v>
      </c>
      <c r="B283" s="97">
        <v>33044</v>
      </c>
      <c r="C283" s="48"/>
      <c r="D283" s="48"/>
      <c r="E283" s="48"/>
      <c r="F283" s="48">
        <f t="shared" si="85"/>
        <v>0</v>
      </c>
      <c r="G283" s="48"/>
      <c r="H283" s="48"/>
      <c r="I283" s="48">
        <f t="shared" si="86"/>
        <v>0</v>
      </c>
      <c r="J283" s="48"/>
      <c r="K283" s="48"/>
      <c r="L283" s="48">
        <f t="shared" si="87"/>
        <v>0</v>
      </c>
      <c r="M283" s="48"/>
      <c r="N283" s="48"/>
      <c r="O283" s="48">
        <f t="shared" si="88"/>
        <v>0</v>
      </c>
      <c r="P283" s="75">
        <v>502</v>
      </c>
      <c r="Q283" s="75"/>
      <c r="R283" s="75">
        <f t="shared" si="89"/>
        <v>502</v>
      </c>
    </row>
    <row r="284" spans="1:18" ht="12.75" hidden="1">
      <c r="A284" s="12" t="s">
        <v>232</v>
      </c>
      <c r="B284" s="12"/>
      <c r="C284" s="48"/>
      <c r="D284" s="48"/>
      <c r="E284" s="48"/>
      <c r="F284" s="48">
        <f t="shared" si="85"/>
        <v>0</v>
      </c>
      <c r="G284" s="48"/>
      <c r="H284" s="48"/>
      <c r="I284" s="48">
        <f t="shared" si="86"/>
        <v>0</v>
      </c>
      <c r="J284" s="48"/>
      <c r="K284" s="48"/>
      <c r="L284" s="48">
        <f t="shared" si="87"/>
        <v>0</v>
      </c>
      <c r="M284" s="48"/>
      <c r="N284" s="48"/>
      <c r="O284" s="48">
        <f t="shared" si="88"/>
        <v>0</v>
      </c>
      <c r="P284" s="75"/>
      <c r="Q284" s="75"/>
      <c r="R284" s="75">
        <f t="shared" si="89"/>
        <v>0</v>
      </c>
    </row>
    <row r="285" spans="1:18" ht="12.75" hidden="1">
      <c r="A285" s="12" t="s">
        <v>120</v>
      </c>
      <c r="B285" s="12"/>
      <c r="C285" s="48"/>
      <c r="D285" s="48"/>
      <c r="E285" s="48"/>
      <c r="F285" s="48">
        <f t="shared" si="85"/>
        <v>0</v>
      </c>
      <c r="G285" s="48"/>
      <c r="H285" s="48"/>
      <c r="I285" s="48">
        <f t="shared" si="86"/>
        <v>0</v>
      </c>
      <c r="J285" s="48"/>
      <c r="K285" s="48"/>
      <c r="L285" s="48">
        <f t="shared" si="87"/>
        <v>0</v>
      </c>
      <c r="M285" s="48"/>
      <c r="N285" s="48"/>
      <c r="O285" s="48">
        <f t="shared" si="88"/>
        <v>0</v>
      </c>
      <c r="P285" s="75"/>
      <c r="Q285" s="75"/>
      <c r="R285" s="75">
        <f t="shared" si="89"/>
        <v>0</v>
      </c>
    </row>
    <row r="286" spans="1:18" ht="12.75" hidden="1">
      <c r="A286" s="12" t="s">
        <v>187</v>
      </c>
      <c r="B286" s="12"/>
      <c r="C286" s="48"/>
      <c r="D286" s="48"/>
      <c r="E286" s="48"/>
      <c r="F286" s="48">
        <f t="shared" si="85"/>
        <v>0</v>
      </c>
      <c r="G286" s="48"/>
      <c r="H286" s="48"/>
      <c r="I286" s="48">
        <f t="shared" si="86"/>
        <v>0</v>
      </c>
      <c r="J286" s="48"/>
      <c r="K286" s="48"/>
      <c r="L286" s="48">
        <f t="shared" si="87"/>
        <v>0</v>
      </c>
      <c r="M286" s="48"/>
      <c r="N286" s="48"/>
      <c r="O286" s="48">
        <f t="shared" si="88"/>
        <v>0</v>
      </c>
      <c r="P286" s="75"/>
      <c r="Q286" s="75"/>
      <c r="R286" s="75">
        <f t="shared" si="89"/>
        <v>0</v>
      </c>
    </row>
    <row r="287" spans="1:18" ht="12.75">
      <c r="A287" s="12" t="s">
        <v>393</v>
      </c>
      <c r="B287" s="70">
        <v>33264</v>
      </c>
      <c r="C287" s="48"/>
      <c r="D287" s="48"/>
      <c r="E287" s="48"/>
      <c r="F287" s="48">
        <f t="shared" si="85"/>
        <v>0</v>
      </c>
      <c r="G287" s="48"/>
      <c r="H287" s="48"/>
      <c r="I287" s="48">
        <f t="shared" si="86"/>
        <v>0</v>
      </c>
      <c r="J287" s="48"/>
      <c r="K287" s="48"/>
      <c r="L287" s="48">
        <f t="shared" si="87"/>
        <v>0</v>
      </c>
      <c r="M287" s="48"/>
      <c r="N287" s="48"/>
      <c r="O287" s="48">
        <f t="shared" si="88"/>
        <v>0</v>
      </c>
      <c r="P287" s="75">
        <v>200</v>
      </c>
      <c r="Q287" s="75"/>
      <c r="R287" s="75">
        <f t="shared" si="89"/>
        <v>200</v>
      </c>
    </row>
    <row r="288" spans="1:18" ht="12.75">
      <c r="A288" s="12" t="s">
        <v>121</v>
      </c>
      <c r="B288" s="69">
        <v>33215.33457</v>
      </c>
      <c r="C288" s="48"/>
      <c r="D288" s="48"/>
      <c r="E288" s="48"/>
      <c r="F288" s="48">
        <f t="shared" si="85"/>
        <v>0</v>
      </c>
      <c r="G288" s="48">
        <v>5119.4</v>
      </c>
      <c r="H288" s="48"/>
      <c r="I288" s="48">
        <f t="shared" si="86"/>
        <v>5119.4</v>
      </c>
      <c r="J288" s="48">
        <f>5993.1+26.7</f>
        <v>6019.8</v>
      </c>
      <c r="K288" s="48"/>
      <c r="L288" s="48">
        <f t="shared" si="87"/>
        <v>11139.2</v>
      </c>
      <c r="M288" s="48">
        <v>-309.5</v>
      </c>
      <c r="N288" s="48"/>
      <c r="O288" s="48">
        <f t="shared" si="88"/>
        <v>10829.7</v>
      </c>
      <c r="P288" s="75">
        <v>45.5</v>
      </c>
      <c r="Q288" s="75"/>
      <c r="R288" s="75">
        <f t="shared" si="89"/>
        <v>10875.2</v>
      </c>
    </row>
    <row r="289" spans="1:18" ht="12.75" hidden="1">
      <c r="A289" s="12" t="s">
        <v>229</v>
      </c>
      <c r="B289" s="12"/>
      <c r="C289" s="48"/>
      <c r="D289" s="48"/>
      <c r="E289" s="48"/>
      <c r="F289" s="48">
        <f t="shared" si="85"/>
        <v>0</v>
      </c>
      <c r="G289" s="48"/>
      <c r="H289" s="48"/>
      <c r="I289" s="48">
        <f t="shared" si="86"/>
        <v>0</v>
      </c>
      <c r="J289" s="48"/>
      <c r="K289" s="48"/>
      <c r="L289" s="48">
        <f t="shared" si="87"/>
        <v>0</v>
      </c>
      <c r="M289" s="48"/>
      <c r="N289" s="48"/>
      <c r="O289" s="48">
        <f t="shared" si="88"/>
        <v>0</v>
      </c>
      <c r="P289" s="75"/>
      <c r="Q289" s="75"/>
      <c r="R289" s="75">
        <f t="shared" si="89"/>
        <v>0</v>
      </c>
    </row>
    <row r="290" spans="1:18" ht="12.75">
      <c r="A290" s="29" t="s">
        <v>392</v>
      </c>
      <c r="B290" s="71">
        <v>33046</v>
      </c>
      <c r="C290" s="48"/>
      <c r="D290" s="48"/>
      <c r="E290" s="48"/>
      <c r="F290" s="48">
        <f t="shared" si="85"/>
        <v>0</v>
      </c>
      <c r="G290" s="48"/>
      <c r="H290" s="48"/>
      <c r="I290" s="48">
        <f t="shared" si="86"/>
        <v>0</v>
      </c>
      <c r="J290" s="48"/>
      <c r="K290" s="48"/>
      <c r="L290" s="48">
        <f t="shared" si="87"/>
        <v>0</v>
      </c>
      <c r="M290" s="48"/>
      <c r="N290" s="48"/>
      <c r="O290" s="48">
        <f t="shared" si="88"/>
        <v>0</v>
      </c>
      <c r="P290" s="75">
        <v>940</v>
      </c>
      <c r="Q290" s="75"/>
      <c r="R290" s="75">
        <f t="shared" si="89"/>
        <v>940</v>
      </c>
    </row>
    <row r="291" spans="1:18" ht="12.75">
      <c r="A291" s="29" t="s">
        <v>239</v>
      </c>
      <c r="B291" s="71">
        <v>33034</v>
      </c>
      <c r="C291" s="48"/>
      <c r="D291" s="48"/>
      <c r="E291" s="48"/>
      <c r="F291" s="48">
        <f t="shared" si="85"/>
        <v>0</v>
      </c>
      <c r="G291" s="48"/>
      <c r="H291" s="48"/>
      <c r="I291" s="48">
        <f t="shared" si="86"/>
        <v>0</v>
      </c>
      <c r="J291" s="48"/>
      <c r="K291" s="48"/>
      <c r="L291" s="48">
        <f t="shared" si="87"/>
        <v>0</v>
      </c>
      <c r="M291" s="48"/>
      <c r="N291" s="48"/>
      <c r="O291" s="48">
        <f t="shared" si="88"/>
        <v>0</v>
      </c>
      <c r="P291" s="75">
        <v>736.3</v>
      </c>
      <c r="Q291" s="75"/>
      <c r="R291" s="75">
        <f t="shared" si="89"/>
        <v>736.3</v>
      </c>
    </row>
    <row r="292" spans="1:18" ht="12.75">
      <c r="A292" s="12" t="s">
        <v>226</v>
      </c>
      <c r="B292" s="70">
        <v>33435</v>
      </c>
      <c r="C292" s="48"/>
      <c r="D292" s="48"/>
      <c r="E292" s="48"/>
      <c r="F292" s="48">
        <f t="shared" si="85"/>
        <v>0</v>
      </c>
      <c r="G292" s="48">
        <v>1292</v>
      </c>
      <c r="H292" s="48"/>
      <c r="I292" s="48">
        <f t="shared" si="86"/>
        <v>1292</v>
      </c>
      <c r="J292" s="48"/>
      <c r="K292" s="48"/>
      <c r="L292" s="48">
        <f t="shared" si="87"/>
        <v>1292</v>
      </c>
      <c r="M292" s="48"/>
      <c r="N292" s="48"/>
      <c r="O292" s="48">
        <f t="shared" si="88"/>
        <v>1292</v>
      </c>
      <c r="P292" s="75"/>
      <c r="Q292" s="75"/>
      <c r="R292" s="75">
        <f t="shared" si="89"/>
        <v>1292</v>
      </c>
    </row>
    <row r="293" spans="1:18" ht="12.75">
      <c r="A293" s="29" t="s">
        <v>304</v>
      </c>
      <c r="B293" s="71">
        <v>33024</v>
      </c>
      <c r="C293" s="48"/>
      <c r="D293" s="48"/>
      <c r="E293" s="48"/>
      <c r="F293" s="48">
        <f t="shared" si="85"/>
        <v>0</v>
      </c>
      <c r="G293" s="48">
        <v>144</v>
      </c>
      <c r="H293" s="48"/>
      <c r="I293" s="48">
        <f t="shared" si="86"/>
        <v>144</v>
      </c>
      <c r="J293" s="48"/>
      <c r="K293" s="48"/>
      <c r="L293" s="48">
        <f t="shared" si="87"/>
        <v>144</v>
      </c>
      <c r="M293" s="48"/>
      <c r="N293" s="48"/>
      <c r="O293" s="48">
        <f t="shared" si="88"/>
        <v>144</v>
      </c>
      <c r="P293" s="75"/>
      <c r="Q293" s="75"/>
      <c r="R293" s="75">
        <f t="shared" si="89"/>
        <v>144</v>
      </c>
    </row>
    <row r="294" spans="1:18" ht="12.75">
      <c r="A294" s="29" t="s">
        <v>238</v>
      </c>
      <c r="B294" s="71">
        <v>33018</v>
      </c>
      <c r="C294" s="48"/>
      <c r="D294" s="48"/>
      <c r="E294" s="48"/>
      <c r="F294" s="48">
        <f t="shared" si="85"/>
        <v>0</v>
      </c>
      <c r="G294" s="48"/>
      <c r="H294" s="48"/>
      <c r="I294" s="48">
        <f t="shared" si="86"/>
        <v>0</v>
      </c>
      <c r="J294" s="48"/>
      <c r="K294" s="48"/>
      <c r="L294" s="48">
        <f t="shared" si="87"/>
        <v>0</v>
      </c>
      <c r="M294" s="48">
        <v>121.4</v>
      </c>
      <c r="N294" s="48">
        <v>971.1</v>
      </c>
      <c r="O294" s="48">
        <f t="shared" si="88"/>
        <v>1092.5</v>
      </c>
      <c r="P294" s="75"/>
      <c r="Q294" s="75"/>
      <c r="R294" s="75">
        <f t="shared" si="89"/>
        <v>1092.5</v>
      </c>
    </row>
    <row r="295" spans="1:18" ht="12.75" hidden="1">
      <c r="A295" s="10" t="s">
        <v>240</v>
      </c>
      <c r="B295" s="72"/>
      <c r="C295" s="48"/>
      <c r="D295" s="48"/>
      <c r="E295" s="48"/>
      <c r="F295" s="48">
        <f t="shared" si="85"/>
        <v>0</v>
      </c>
      <c r="G295" s="48"/>
      <c r="H295" s="48"/>
      <c r="I295" s="48">
        <f t="shared" si="86"/>
        <v>0</v>
      </c>
      <c r="J295" s="48"/>
      <c r="K295" s="48"/>
      <c r="L295" s="48">
        <f t="shared" si="87"/>
        <v>0</v>
      </c>
      <c r="M295" s="48"/>
      <c r="N295" s="48"/>
      <c r="O295" s="48">
        <f t="shared" si="88"/>
        <v>0</v>
      </c>
      <c r="P295" s="75"/>
      <c r="Q295" s="75"/>
      <c r="R295" s="75">
        <f t="shared" si="89"/>
        <v>0</v>
      </c>
    </row>
    <row r="296" spans="1:18" ht="12.75">
      <c r="A296" s="29" t="s">
        <v>355</v>
      </c>
      <c r="B296" s="71">
        <v>33160</v>
      </c>
      <c r="C296" s="48"/>
      <c r="D296" s="48"/>
      <c r="E296" s="48"/>
      <c r="F296" s="48">
        <f t="shared" si="85"/>
        <v>0</v>
      </c>
      <c r="G296" s="48"/>
      <c r="H296" s="48"/>
      <c r="I296" s="48">
        <f t="shared" si="86"/>
        <v>0</v>
      </c>
      <c r="J296" s="48"/>
      <c r="K296" s="48">
        <v>163.3</v>
      </c>
      <c r="L296" s="48">
        <f t="shared" si="87"/>
        <v>163.3</v>
      </c>
      <c r="M296" s="48">
        <v>-70.2</v>
      </c>
      <c r="N296" s="48"/>
      <c r="O296" s="48">
        <f t="shared" si="88"/>
        <v>93.10000000000001</v>
      </c>
      <c r="P296" s="75">
        <v>266.4</v>
      </c>
      <c r="Q296" s="75"/>
      <c r="R296" s="75">
        <f t="shared" si="89"/>
        <v>359.5</v>
      </c>
    </row>
    <row r="297" spans="1:18" ht="12.75" hidden="1">
      <c r="A297" s="12" t="s">
        <v>208</v>
      </c>
      <c r="B297" s="70"/>
      <c r="C297" s="48"/>
      <c r="D297" s="48"/>
      <c r="E297" s="48"/>
      <c r="F297" s="48">
        <f t="shared" si="85"/>
        <v>0</v>
      </c>
      <c r="G297" s="48"/>
      <c r="H297" s="48"/>
      <c r="I297" s="48">
        <f t="shared" si="86"/>
        <v>0</v>
      </c>
      <c r="J297" s="48"/>
      <c r="K297" s="48"/>
      <c r="L297" s="48">
        <f t="shared" si="87"/>
        <v>0</v>
      </c>
      <c r="M297" s="48"/>
      <c r="N297" s="48"/>
      <c r="O297" s="48">
        <f t="shared" si="88"/>
        <v>0</v>
      </c>
      <c r="P297" s="75"/>
      <c r="Q297" s="75"/>
      <c r="R297" s="75">
        <f t="shared" si="89"/>
        <v>0</v>
      </c>
    </row>
    <row r="298" spans="1:18" ht="12.75">
      <c r="A298" s="12" t="s">
        <v>377</v>
      </c>
      <c r="B298" s="70">
        <v>33043</v>
      </c>
      <c r="C298" s="48"/>
      <c r="D298" s="48"/>
      <c r="E298" s="48"/>
      <c r="F298" s="48">
        <f t="shared" si="85"/>
        <v>0</v>
      </c>
      <c r="G298" s="48"/>
      <c r="H298" s="48"/>
      <c r="I298" s="48">
        <f t="shared" si="86"/>
        <v>0</v>
      </c>
      <c r="J298" s="48"/>
      <c r="K298" s="48"/>
      <c r="L298" s="48">
        <f t="shared" si="87"/>
        <v>0</v>
      </c>
      <c r="M298" s="48">
        <v>80.1</v>
      </c>
      <c r="N298" s="48"/>
      <c r="O298" s="48">
        <f t="shared" si="88"/>
        <v>80.1</v>
      </c>
      <c r="P298" s="75"/>
      <c r="Q298" s="75"/>
      <c r="R298" s="75">
        <f t="shared" si="89"/>
        <v>80.1</v>
      </c>
    </row>
    <row r="299" spans="1:18" ht="12.75" hidden="1">
      <c r="A299" s="12" t="s">
        <v>122</v>
      </c>
      <c r="B299" s="70"/>
      <c r="C299" s="48"/>
      <c r="D299" s="48"/>
      <c r="E299" s="48"/>
      <c r="F299" s="48">
        <f t="shared" si="85"/>
        <v>0</v>
      </c>
      <c r="G299" s="48"/>
      <c r="H299" s="48"/>
      <c r="I299" s="48">
        <f t="shared" si="86"/>
        <v>0</v>
      </c>
      <c r="J299" s="48"/>
      <c r="K299" s="48"/>
      <c r="L299" s="48">
        <f t="shared" si="87"/>
        <v>0</v>
      </c>
      <c r="M299" s="48"/>
      <c r="N299" s="48"/>
      <c r="O299" s="48">
        <f t="shared" si="88"/>
        <v>0</v>
      </c>
      <c r="P299" s="75"/>
      <c r="Q299" s="75"/>
      <c r="R299" s="75">
        <f t="shared" si="89"/>
        <v>0</v>
      </c>
    </row>
    <row r="300" spans="1:18" ht="12.75" hidden="1">
      <c r="A300" s="12" t="s">
        <v>179</v>
      </c>
      <c r="B300" s="70"/>
      <c r="C300" s="48"/>
      <c r="D300" s="48"/>
      <c r="E300" s="48"/>
      <c r="F300" s="48">
        <f t="shared" si="85"/>
        <v>0</v>
      </c>
      <c r="G300" s="48"/>
      <c r="H300" s="48"/>
      <c r="I300" s="48">
        <f t="shared" si="86"/>
        <v>0</v>
      </c>
      <c r="J300" s="48"/>
      <c r="K300" s="48"/>
      <c r="L300" s="48">
        <f t="shared" si="87"/>
        <v>0</v>
      </c>
      <c r="M300" s="48"/>
      <c r="N300" s="48"/>
      <c r="O300" s="48">
        <f t="shared" si="88"/>
        <v>0</v>
      </c>
      <c r="P300" s="75"/>
      <c r="Q300" s="75"/>
      <c r="R300" s="75">
        <f t="shared" si="89"/>
        <v>0</v>
      </c>
    </row>
    <row r="301" spans="1:18" ht="12.75" hidden="1">
      <c r="A301" s="29" t="s">
        <v>178</v>
      </c>
      <c r="B301" s="71"/>
      <c r="C301" s="48"/>
      <c r="D301" s="48"/>
      <c r="E301" s="48"/>
      <c r="F301" s="48">
        <f t="shared" si="85"/>
        <v>0</v>
      </c>
      <c r="G301" s="48"/>
      <c r="H301" s="48"/>
      <c r="I301" s="48">
        <f t="shared" si="86"/>
        <v>0</v>
      </c>
      <c r="J301" s="48"/>
      <c r="K301" s="48"/>
      <c r="L301" s="48">
        <f t="shared" si="87"/>
        <v>0</v>
      </c>
      <c r="M301" s="48"/>
      <c r="N301" s="48"/>
      <c r="O301" s="48">
        <f t="shared" si="88"/>
        <v>0</v>
      </c>
      <c r="P301" s="75"/>
      <c r="Q301" s="75"/>
      <c r="R301" s="75">
        <f t="shared" si="89"/>
        <v>0</v>
      </c>
    </row>
    <row r="302" spans="1:18" ht="12.75" hidden="1">
      <c r="A302" s="29" t="s">
        <v>207</v>
      </c>
      <c r="B302" s="71"/>
      <c r="C302" s="48"/>
      <c r="D302" s="48"/>
      <c r="E302" s="48"/>
      <c r="F302" s="48">
        <f t="shared" si="85"/>
        <v>0</v>
      </c>
      <c r="G302" s="48"/>
      <c r="H302" s="48"/>
      <c r="I302" s="48">
        <f t="shared" si="86"/>
        <v>0</v>
      </c>
      <c r="J302" s="48"/>
      <c r="K302" s="48"/>
      <c r="L302" s="48">
        <f t="shared" si="87"/>
        <v>0</v>
      </c>
      <c r="M302" s="48"/>
      <c r="N302" s="48"/>
      <c r="O302" s="48">
        <f t="shared" si="88"/>
        <v>0</v>
      </c>
      <c r="P302" s="75"/>
      <c r="Q302" s="75"/>
      <c r="R302" s="75">
        <f t="shared" si="89"/>
        <v>0</v>
      </c>
    </row>
    <row r="303" spans="1:18" ht="12.75">
      <c r="A303" s="29" t="s">
        <v>357</v>
      </c>
      <c r="B303" s="71">
        <v>33040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>
        <f t="shared" si="87"/>
        <v>0</v>
      </c>
      <c r="M303" s="48">
        <v>100</v>
      </c>
      <c r="N303" s="48"/>
      <c r="O303" s="48">
        <f t="shared" si="88"/>
        <v>100</v>
      </c>
      <c r="P303" s="75"/>
      <c r="Q303" s="75"/>
      <c r="R303" s="75">
        <f t="shared" si="89"/>
        <v>100</v>
      </c>
    </row>
    <row r="304" spans="1:18" ht="12.75">
      <c r="A304" s="12" t="s">
        <v>123</v>
      </c>
      <c r="B304" s="70">
        <v>33025</v>
      </c>
      <c r="C304" s="48"/>
      <c r="D304" s="48"/>
      <c r="E304" s="48"/>
      <c r="F304" s="48">
        <f t="shared" si="85"/>
        <v>0</v>
      </c>
      <c r="G304" s="48"/>
      <c r="H304" s="48"/>
      <c r="I304" s="48">
        <f t="shared" si="86"/>
        <v>0</v>
      </c>
      <c r="J304" s="48">
        <v>330</v>
      </c>
      <c r="K304" s="48"/>
      <c r="L304" s="48">
        <f t="shared" si="87"/>
        <v>330</v>
      </c>
      <c r="M304" s="48"/>
      <c r="N304" s="48"/>
      <c r="O304" s="48">
        <f t="shared" si="88"/>
        <v>330</v>
      </c>
      <c r="P304" s="75"/>
      <c r="Q304" s="75"/>
      <c r="R304" s="75">
        <f t="shared" si="89"/>
        <v>330</v>
      </c>
    </row>
    <row r="305" spans="1:18" ht="12.75">
      <c r="A305" s="12" t="s">
        <v>253</v>
      </c>
      <c r="B305" s="70">
        <v>33038</v>
      </c>
      <c r="C305" s="48"/>
      <c r="D305" s="48"/>
      <c r="E305" s="48"/>
      <c r="F305" s="48">
        <f t="shared" si="85"/>
        <v>0</v>
      </c>
      <c r="G305" s="48"/>
      <c r="H305" s="48"/>
      <c r="I305" s="48">
        <f t="shared" si="86"/>
        <v>0</v>
      </c>
      <c r="J305" s="48">
        <v>1316.3</v>
      </c>
      <c r="K305" s="48"/>
      <c r="L305" s="48">
        <f t="shared" si="87"/>
        <v>1316.3</v>
      </c>
      <c r="M305" s="48"/>
      <c r="N305" s="48"/>
      <c r="O305" s="48">
        <f t="shared" si="88"/>
        <v>1316.3</v>
      </c>
      <c r="P305" s="75"/>
      <c r="Q305" s="75"/>
      <c r="R305" s="75">
        <f t="shared" si="89"/>
        <v>1316.3</v>
      </c>
    </row>
    <row r="306" spans="1:18" ht="12.75">
      <c r="A306" s="12" t="s">
        <v>313</v>
      </c>
      <c r="B306" s="65">
        <v>5400</v>
      </c>
      <c r="C306" s="48"/>
      <c r="D306" s="48"/>
      <c r="E306" s="48"/>
      <c r="F306" s="48">
        <f t="shared" si="85"/>
        <v>0</v>
      </c>
      <c r="G306" s="48">
        <v>0.2</v>
      </c>
      <c r="H306" s="48"/>
      <c r="I306" s="48">
        <f t="shared" si="86"/>
        <v>0.2</v>
      </c>
      <c r="J306" s="48"/>
      <c r="K306" s="48"/>
      <c r="L306" s="48">
        <f t="shared" si="87"/>
        <v>0.2</v>
      </c>
      <c r="M306" s="48"/>
      <c r="N306" s="48"/>
      <c r="O306" s="48">
        <f t="shared" si="88"/>
        <v>0.2</v>
      </c>
      <c r="P306" s="75"/>
      <c r="Q306" s="75"/>
      <c r="R306" s="75">
        <f t="shared" si="89"/>
        <v>0.2</v>
      </c>
    </row>
    <row r="307" spans="1:18" ht="12.75" hidden="1">
      <c r="A307" s="12" t="s">
        <v>184</v>
      </c>
      <c r="B307" s="70"/>
      <c r="C307" s="48"/>
      <c r="D307" s="48"/>
      <c r="E307" s="48"/>
      <c r="F307" s="48">
        <f t="shared" si="85"/>
        <v>0</v>
      </c>
      <c r="G307" s="48"/>
      <c r="H307" s="48"/>
      <c r="I307" s="48">
        <f t="shared" si="86"/>
        <v>0</v>
      </c>
      <c r="J307" s="48"/>
      <c r="K307" s="48"/>
      <c r="L307" s="48">
        <f t="shared" si="87"/>
        <v>0</v>
      </c>
      <c r="M307" s="48"/>
      <c r="N307" s="48"/>
      <c r="O307" s="48">
        <f t="shared" si="88"/>
        <v>0</v>
      </c>
      <c r="P307" s="75"/>
      <c r="Q307" s="75"/>
      <c r="R307" s="75">
        <f t="shared" si="89"/>
        <v>0</v>
      </c>
    </row>
    <row r="308" spans="1:18" ht="12.75" hidden="1">
      <c r="A308" s="29" t="s">
        <v>249</v>
      </c>
      <c r="B308" s="71"/>
      <c r="C308" s="48"/>
      <c r="D308" s="48"/>
      <c r="E308" s="48"/>
      <c r="F308" s="48">
        <f t="shared" si="85"/>
        <v>0</v>
      </c>
      <c r="G308" s="48"/>
      <c r="H308" s="48"/>
      <c r="I308" s="48">
        <f t="shared" si="86"/>
        <v>0</v>
      </c>
      <c r="J308" s="48"/>
      <c r="K308" s="48"/>
      <c r="L308" s="48">
        <f t="shared" si="87"/>
        <v>0</v>
      </c>
      <c r="M308" s="48"/>
      <c r="N308" s="48"/>
      <c r="O308" s="48">
        <f t="shared" si="88"/>
        <v>0</v>
      </c>
      <c r="P308" s="75"/>
      <c r="Q308" s="75"/>
      <c r="R308" s="75">
        <f t="shared" si="89"/>
        <v>0</v>
      </c>
    </row>
    <row r="309" spans="1:18" ht="12.75" hidden="1">
      <c r="A309" s="29" t="s">
        <v>233</v>
      </c>
      <c r="B309" s="71"/>
      <c r="C309" s="48"/>
      <c r="D309" s="48"/>
      <c r="E309" s="48"/>
      <c r="F309" s="48">
        <f t="shared" si="85"/>
        <v>0</v>
      </c>
      <c r="G309" s="48"/>
      <c r="H309" s="48"/>
      <c r="I309" s="48">
        <f t="shared" si="86"/>
        <v>0</v>
      </c>
      <c r="J309" s="48"/>
      <c r="K309" s="48"/>
      <c r="L309" s="48">
        <f t="shared" si="87"/>
        <v>0</v>
      </c>
      <c r="M309" s="48"/>
      <c r="N309" s="48"/>
      <c r="O309" s="48">
        <f t="shared" si="88"/>
        <v>0</v>
      </c>
      <c r="P309" s="75"/>
      <c r="Q309" s="75"/>
      <c r="R309" s="75">
        <f t="shared" si="89"/>
        <v>0</v>
      </c>
    </row>
    <row r="310" spans="1:18" ht="12.75" hidden="1">
      <c r="A310" s="12" t="s">
        <v>194</v>
      </c>
      <c r="B310" s="70"/>
      <c r="C310" s="48"/>
      <c r="D310" s="48"/>
      <c r="E310" s="48"/>
      <c r="F310" s="48">
        <f t="shared" si="85"/>
        <v>0</v>
      </c>
      <c r="G310" s="48"/>
      <c r="H310" s="48"/>
      <c r="I310" s="48">
        <f t="shared" si="86"/>
        <v>0</v>
      </c>
      <c r="J310" s="48"/>
      <c r="K310" s="48"/>
      <c r="L310" s="48">
        <f t="shared" si="87"/>
        <v>0</v>
      </c>
      <c r="M310" s="48"/>
      <c r="N310" s="48"/>
      <c r="O310" s="48">
        <f t="shared" si="88"/>
        <v>0</v>
      </c>
      <c r="P310" s="75"/>
      <c r="Q310" s="75"/>
      <c r="R310" s="75">
        <f t="shared" si="89"/>
        <v>0</v>
      </c>
    </row>
    <row r="311" spans="1:18" ht="12.75">
      <c r="A311" s="12" t="s">
        <v>252</v>
      </c>
      <c r="B311" s="70">
        <v>33031</v>
      </c>
      <c r="C311" s="48"/>
      <c r="D311" s="48"/>
      <c r="E311" s="48"/>
      <c r="F311" s="48">
        <f t="shared" si="85"/>
        <v>0</v>
      </c>
      <c r="G311" s="48">
        <f>233.7+838.7+1445.4+1853.5</f>
        <v>4371.3</v>
      </c>
      <c r="H311" s="48"/>
      <c r="I311" s="48">
        <f t="shared" si="86"/>
        <v>4371.3</v>
      </c>
      <c r="J311" s="48">
        <f>354+385.1+4206.7+3582.6+3040.9</f>
        <v>11569.3</v>
      </c>
      <c r="K311" s="48"/>
      <c r="L311" s="48">
        <f t="shared" si="87"/>
        <v>15940.599999999999</v>
      </c>
      <c r="M311" s="48">
        <f>1186.3+549.3+863.6+389.3+1787.3+1082.2+1121.5+3025.8+2237.2+2675.8</f>
        <v>14918.3</v>
      </c>
      <c r="N311" s="48"/>
      <c r="O311" s="48">
        <f t="shared" si="88"/>
        <v>30858.899999999998</v>
      </c>
      <c r="P311" s="75"/>
      <c r="Q311" s="75"/>
      <c r="R311" s="75">
        <f t="shared" si="89"/>
        <v>30858.899999999998</v>
      </c>
    </row>
    <row r="312" spans="1:18" ht="12.75" hidden="1">
      <c r="A312" s="12" t="s">
        <v>199</v>
      </c>
      <c r="B312" s="12"/>
      <c r="C312" s="48"/>
      <c r="D312" s="48"/>
      <c r="E312" s="48"/>
      <c r="F312" s="48">
        <f t="shared" si="85"/>
        <v>0</v>
      </c>
      <c r="G312" s="48"/>
      <c r="H312" s="48"/>
      <c r="I312" s="48">
        <f t="shared" si="86"/>
        <v>0</v>
      </c>
      <c r="J312" s="48"/>
      <c r="K312" s="48"/>
      <c r="L312" s="48">
        <f t="shared" si="87"/>
        <v>0</v>
      </c>
      <c r="M312" s="48"/>
      <c r="N312" s="48"/>
      <c r="O312" s="48">
        <f t="shared" si="88"/>
        <v>0</v>
      </c>
      <c r="P312" s="75"/>
      <c r="Q312" s="75"/>
      <c r="R312" s="75">
        <f t="shared" si="89"/>
        <v>0</v>
      </c>
    </row>
    <row r="313" spans="1:18" ht="12.75" hidden="1">
      <c r="A313" s="29" t="s">
        <v>204</v>
      </c>
      <c r="B313" s="29"/>
      <c r="C313" s="48"/>
      <c r="D313" s="48"/>
      <c r="E313" s="48"/>
      <c r="F313" s="48">
        <f t="shared" si="85"/>
        <v>0</v>
      </c>
      <c r="G313" s="48"/>
      <c r="H313" s="48"/>
      <c r="I313" s="48">
        <f t="shared" si="86"/>
        <v>0</v>
      </c>
      <c r="J313" s="48"/>
      <c r="K313" s="48"/>
      <c r="L313" s="48">
        <f t="shared" si="87"/>
        <v>0</v>
      </c>
      <c r="M313" s="48"/>
      <c r="N313" s="48"/>
      <c r="O313" s="48">
        <f t="shared" si="88"/>
        <v>0</v>
      </c>
      <c r="P313" s="75"/>
      <c r="Q313" s="75"/>
      <c r="R313" s="75">
        <f t="shared" si="89"/>
        <v>0</v>
      </c>
    </row>
    <row r="314" spans="1:18" ht="12.75">
      <c r="A314" s="29" t="s">
        <v>381</v>
      </c>
      <c r="B314" s="29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>
        <f t="shared" si="88"/>
        <v>0</v>
      </c>
      <c r="P314" s="75">
        <v>1064.8</v>
      </c>
      <c r="Q314" s="75"/>
      <c r="R314" s="75">
        <f t="shared" si="89"/>
        <v>1064.8</v>
      </c>
    </row>
    <row r="315" spans="1:18" ht="12.75" hidden="1">
      <c r="A315" s="12" t="s">
        <v>211</v>
      </c>
      <c r="B315" s="12"/>
      <c r="C315" s="48"/>
      <c r="D315" s="48"/>
      <c r="E315" s="48"/>
      <c r="F315" s="48">
        <f t="shared" si="85"/>
        <v>0</v>
      </c>
      <c r="G315" s="48"/>
      <c r="H315" s="48"/>
      <c r="I315" s="48">
        <f t="shared" si="86"/>
        <v>0</v>
      </c>
      <c r="J315" s="48"/>
      <c r="K315" s="48"/>
      <c r="L315" s="48">
        <f t="shared" si="87"/>
        <v>0</v>
      </c>
      <c r="M315" s="48"/>
      <c r="N315" s="48"/>
      <c r="O315" s="48">
        <f t="shared" si="88"/>
        <v>0</v>
      </c>
      <c r="P315" s="75"/>
      <c r="Q315" s="75"/>
      <c r="R315" s="75">
        <f t="shared" si="89"/>
        <v>0</v>
      </c>
    </row>
    <row r="316" spans="1:18" ht="12.75">
      <c r="A316" s="12" t="s">
        <v>104</v>
      </c>
      <c r="B316" s="12"/>
      <c r="C316" s="48"/>
      <c r="D316" s="48"/>
      <c r="E316" s="48"/>
      <c r="F316" s="48"/>
      <c r="G316" s="48"/>
      <c r="H316" s="48"/>
      <c r="I316" s="48">
        <f t="shared" si="86"/>
        <v>0</v>
      </c>
      <c r="J316" s="48">
        <v>240</v>
      </c>
      <c r="K316" s="48"/>
      <c r="L316" s="48">
        <f t="shared" si="87"/>
        <v>240</v>
      </c>
      <c r="M316" s="48"/>
      <c r="N316" s="48"/>
      <c r="O316" s="48">
        <f t="shared" si="88"/>
        <v>240</v>
      </c>
      <c r="P316" s="75">
        <v>592</v>
      </c>
      <c r="Q316" s="75"/>
      <c r="R316" s="75">
        <f t="shared" si="89"/>
        <v>832</v>
      </c>
    </row>
    <row r="317" spans="1:18" ht="12.75" hidden="1">
      <c r="A317" s="12" t="s">
        <v>124</v>
      </c>
      <c r="B317" s="12"/>
      <c r="C317" s="48"/>
      <c r="D317" s="48"/>
      <c r="E317" s="48"/>
      <c r="F317" s="48">
        <f t="shared" si="85"/>
        <v>0</v>
      </c>
      <c r="G317" s="48"/>
      <c r="H317" s="48"/>
      <c r="I317" s="48">
        <f t="shared" si="86"/>
        <v>0</v>
      </c>
      <c r="J317" s="48"/>
      <c r="K317" s="48"/>
      <c r="L317" s="48">
        <f t="shared" si="87"/>
        <v>0</v>
      </c>
      <c r="M317" s="48"/>
      <c r="N317" s="48"/>
      <c r="O317" s="48">
        <f t="shared" si="88"/>
        <v>0</v>
      </c>
      <c r="P317" s="75"/>
      <c r="Q317" s="75"/>
      <c r="R317" s="75">
        <f t="shared" si="89"/>
        <v>0</v>
      </c>
    </row>
    <row r="318" spans="1:18" ht="12.75">
      <c r="A318" s="12" t="s">
        <v>72</v>
      </c>
      <c r="B318" s="12"/>
      <c r="C318" s="48">
        <v>20894</v>
      </c>
      <c r="D318" s="48"/>
      <c r="E318" s="48"/>
      <c r="F318" s="48">
        <f t="shared" si="85"/>
        <v>20894</v>
      </c>
      <c r="G318" s="48"/>
      <c r="H318" s="48">
        <v>-4216.9</v>
      </c>
      <c r="I318" s="48">
        <f t="shared" si="86"/>
        <v>16677.1</v>
      </c>
      <c r="J318" s="48">
        <f>487.8+153+3000</f>
        <v>3640.8</v>
      </c>
      <c r="K318" s="48">
        <f>-3534.3+937.7</f>
        <v>-2596.6000000000004</v>
      </c>
      <c r="L318" s="48">
        <f t="shared" si="87"/>
        <v>17721.299999999996</v>
      </c>
      <c r="M318" s="55"/>
      <c r="N318" s="48">
        <v>-6354.2</v>
      </c>
      <c r="O318" s="48">
        <f t="shared" si="88"/>
        <v>11367.099999999995</v>
      </c>
      <c r="P318" s="75">
        <v>-2903.6</v>
      </c>
      <c r="Q318" s="75"/>
      <c r="R318" s="75">
        <f t="shared" si="89"/>
        <v>8463.499999999995</v>
      </c>
    </row>
    <row r="319" spans="1:18" ht="12.75">
      <c r="A319" s="15" t="s">
        <v>75</v>
      </c>
      <c r="B319" s="15"/>
      <c r="C319" s="53">
        <f>SUM(C321:C325)</f>
        <v>0</v>
      </c>
      <c r="D319" s="53">
        <f>SUM(D321:D325)</f>
        <v>0</v>
      </c>
      <c r="E319" s="53"/>
      <c r="F319" s="53">
        <f>SUM(F321:F325)</f>
        <v>0</v>
      </c>
      <c r="G319" s="53">
        <f>SUM(G321:G325)</f>
        <v>0</v>
      </c>
      <c r="H319" s="53">
        <f>SUM(H321:H325)</f>
        <v>0</v>
      </c>
      <c r="I319" s="53">
        <f>SUM(I321:I325)</f>
        <v>0</v>
      </c>
      <c r="J319" s="53"/>
      <c r="K319" s="53"/>
      <c r="L319" s="53">
        <f aca="true" t="shared" si="90" ref="L319:R319">SUM(L321:L325)</f>
        <v>0</v>
      </c>
      <c r="M319" s="53">
        <f t="shared" si="90"/>
        <v>0</v>
      </c>
      <c r="N319" s="53">
        <f t="shared" si="90"/>
        <v>225</v>
      </c>
      <c r="O319" s="53">
        <f t="shared" si="90"/>
        <v>225</v>
      </c>
      <c r="P319" s="53">
        <f t="shared" si="90"/>
        <v>2080</v>
      </c>
      <c r="Q319" s="53">
        <f t="shared" si="90"/>
        <v>0</v>
      </c>
      <c r="R319" s="53">
        <f t="shared" si="90"/>
        <v>2305</v>
      </c>
    </row>
    <row r="320" spans="1:18" ht="12.75">
      <c r="A320" s="10" t="s">
        <v>38</v>
      </c>
      <c r="B320" s="10"/>
      <c r="C320" s="48"/>
      <c r="D320" s="48"/>
      <c r="E320" s="48"/>
      <c r="F320" s="48"/>
      <c r="G320" s="48"/>
      <c r="H320" s="48"/>
      <c r="I320" s="47"/>
      <c r="J320" s="48"/>
      <c r="K320" s="48"/>
      <c r="L320" s="47"/>
      <c r="M320" s="48"/>
      <c r="N320" s="48"/>
      <c r="O320" s="47"/>
      <c r="P320" s="75"/>
      <c r="Q320" s="75"/>
      <c r="R320" s="75"/>
    </row>
    <row r="321" spans="1:18" ht="12.75">
      <c r="A321" s="19" t="s">
        <v>125</v>
      </c>
      <c r="B321" s="19"/>
      <c r="C321" s="52"/>
      <c r="D321" s="52"/>
      <c r="E321" s="52"/>
      <c r="F321" s="52">
        <f>C321+D321+E321</f>
        <v>0</v>
      </c>
      <c r="G321" s="52"/>
      <c r="H321" s="52"/>
      <c r="I321" s="52">
        <f>F321+G321+H321</f>
        <v>0</v>
      </c>
      <c r="J321" s="52"/>
      <c r="K321" s="52"/>
      <c r="L321" s="52">
        <f>I321+J321+K321</f>
        <v>0</v>
      </c>
      <c r="M321" s="52"/>
      <c r="N321" s="52">
        <v>225</v>
      </c>
      <c r="O321" s="52">
        <f>L321+M321+N321</f>
        <v>225</v>
      </c>
      <c r="P321" s="85">
        <v>2080</v>
      </c>
      <c r="Q321" s="85"/>
      <c r="R321" s="85">
        <f>O321+P321+Q321</f>
        <v>2305</v>
      </c>
    </row>
    <row r="322" spans="1:18" ht="12.75" hidden="1">
      <c r="A322" s="12" t="s">
        <v>92</v>
      </c>
      <c r="B322" s="12"/>
      <c r="C322" s="48"/>
      <c r="D322" s="48"/>
      <c r="E322" s="48"/>
      <c r="F322" s="48">
        <f>C322+D322+E322</f>
        <v>0</v>
      </c>
      <c r="G322" s="48"/>
      <c r="H322" s="48"/>
      <c r="I322" s="48">
        <f>F322+G322+H322</f>
        <v>0</v>
      </c>
      <c r="J322" s="48"/>
      <c r="K322" s="48"/>
      <c r="L322" s="48">
        <f>I322+J322+K322</f>
        <v>0</v>
      </c>
      <c r="M322" s="48"/>
      <c r="N322" s="48"/>
      <c r="O322" s="48">
        <f>L322+M322+N322</f>
        <v>0</v>
      </c>
      <c r="P322" s="75"/>
      <c r="Q322" s="75"/>
      <c r="R322" s="75">
        <f>O322+P322+Q322</f>
        <v>0</v>
      </c>
    </row>
    <row r="323" spans="1:18" ht="12.75" hidden="1">
      <c r="A323" s="29" t="s">
        <v>204</v>
      </c>
      <c r="B323" s="29"/>
      <c r="C323" s="48"/>
      <c r="D323" s="48"/>
      <c r="E323" s="48"/>
      <c r="F323" s="48">
        <f>C323+D323+E323</f>
        <v>0</v>
      </c>
      <c r="G323" s="48"/>
      <c r="H323" s="48"/>
      <c r="I323" s="48">
        <f>F323+G323+H323</f>
        <v>0</v>
      </c>
      <c r="J323" s="48"/>
      <c r="K323" s="48"/>
      <c r="L323" s="48">
        <f>I323+J323+K323</f>
        <v>0</v>
      </c>
      <c r="M323" s="48"/>
      <c r="N323" s="48"/>
      <c r="O323" s="48">
        <f>L323+M323+N323</f>
        <v>0</v>
      </c>
      <c r="P323" s="75"/>
      <c r="Q323" s="75"/>
      <c r="R323" s="75">
        <f>O323+P323+Q323</f>
        <v>0</v>
      </c>
    </row>
    <row r="324" spans="1:18" ht="12.75" hidden="1">
      <c r="A324" s="12" t="s">
        <v>211</v>
      </c>
      <c r="B324" s="12"/>
      <c r="C324" s="48"/>
      <c r="D324" s="48"/>
      <c r="E324" s="48"/>
      <c r="F324" s="48">
        <f>C324+D324+E324</f>
        <v>0</v>
      </c>
      <c r="G324" s="48"/>
      <c r="H324" s="48"/>
      <c r="I324" s="48">
        <f>F324+G324+H324</f>
        <v>0</v>
      </c>
      <c r="J324" s="48"/>
      <c r="K324" s="48"/>
      <c r="L324" s="48">
        <f>I324+J324+K324</f>
        <v>0</v>
      </c>
      <c r="M324" s="48"/>
      <c r="N324" s="48"/>
      <c r="O324" s="48">
        <f>L324+M324+N324</f>
        <v>0</v>
      </c>
      <c r="P324" s="75"/>
      <c r="Q324" s="75"/>
      <c r="R324" s="75">
        <f>O324+P324+Q324</f>
        <v>0</v>
      </c>
    </row>
    <row r="325" spans="1:18" ht="12.75" hidden="1">
      <c r="A325" s="19" t="s">
        <v>76</v>
      </c>
      <c r="B325" s="19"/>
      <c r="C325" s="52"/>
      <c r="D325" s="52"/>
      <c r="E325" s="52"/>
      <c r="F325" s="52">
        <f>C325+D325+E325</f>
        <v>0</v>
      </c>
      <c r="G325" s="52"/>
      <c r="H325" s="52"/>
      <c r="I325" s="52">
        <f>F325+G325+H325</f>
        <v>0</v>
      </c>
      <c r="J325" s="52"/>
      <c r="K325" s="56"/>
      <c r="L325" s="52">
        <f>I325+J325+K325</f>
        <v>0</v>
      </c>
      <c r="M325" s="52"/>
      <c r="N325" s="52"/>
      <c r="O325" s="52">
        <f>L325+M325+N325</f>
        <v>0</v>
      </c>
      <c r="P325" s="75"/>
      <c r="Q325" s="75"/>
      <c r="R325" s="75">
        <f>O325+P325+Q325</f>
        <v>0</v>
      </c>
    </row>
    <row r="326" spans="1:18" ht="12.75">
      <c r="A326" s="5" t="s">
        <v>126</v>
      </c>
      <c r="B326" s="5"/>
      <c r="C326" s="47">
        <f aca="true" t="shared" si="91" ref="C326:O326">C327+C338</f>
        <v>705826</v>
      </c>
      <c r="D326" s="47">
        <f t="shared" si="91"/>
        <v>-300000</v>
      </c>
      <c r="E326" s="47">
        <f t="shared" si="91"/>
        <v>1500</v>
      </c>
      <c r="F326" s="47">
        <f t="shared" si="91"/>
        <v>407326</v>
      </c>
      <c r="G326" s="47">
        <f t="shared" si="91"/>
        <v>30139.7</v>
      </c>
      <c r="H326" s="47">
        <f t="shared" si="91"/>
        <v>0</v>
      </c>
      <c r="I326" s="47">
        <f t="shared" si="91"/>
        <v>437465.7</v>
      </c>
      <c r="J326" s="47">
        <f t="shared" si="91"/>
        <v>52039.200000000004</v>
      </c>
      <c r="K326" s="47">
        <f t="shared" si="91"/>
        <v>0</v>
      </c>
      <c r="L326" s="47">
        <f t="shared" si="91"/>
        <v>489504.89999999997</v>
      </c>
      <c r="M326" s="47">
        <f t="shared" si="91"/>
        <v>417.1</v>
      </c>
      <c r="N326" s="47">
        <f t="shared" si="91"/>
        <v>300</v>
      </c>
      <c r="O326" s="47">
        <f t="shared" si="91"/>
        <v>490222</v>
      </c>
      <c r="P326" s="47">
        <f>P327+P338</f>
        <v>257.2</v>
      </c>
      <c r="Q326" s="47">
        <f>Q327+Q338</f>
        <v>0</v>
      </c>
      <c r="R326" s="47">
        <f>R327+R338</f>
        <v>490479.19999999995</v>
      </c>
    </row>
    <row r="327" spans="1:18" ht="12.75">
      <c r="A327" s="14" t="s">
        <v>69</v>
      </c>
      <c r="B327" s="14"/>
      <c r="C327" s="51">
        <f aca="true" t="shared" si="92" ref="C327:O327">SUM(C329:C337)</f>
        <v>405826</v>
      </c>
      <c r="D327" s="51">
        <f t="shared" si="92"/>
        <v>0</v>
      </c>
      <c r="E327" s="51">
        <f t="shared" si="92"/>
        <v>1500</v>
      </c>
      <c r="F327" s="51">
        <f t="shared" si="92"/>
        <v>407326</v>
      </c>
      <c r="G327" s="51">
        <f t="shared" si="92"/>
        <v>30139.7</v>
      </c>
      <c r="H327" s="51">
        <f t="shared" si="92"/>
        <v>0</v>
      </c>
      <c r="I327" s="51">
        <f t="shared" si="92"/>
        <v>437465.7</v>
      </c>
      <c r="J327" s="51">
        <f t="shared" si="92"/>
        <v>51364.4</v>
      </c>
      <c r="K327" s="51">
        <f t="shared" si="92"/>
        <v>0</v>
      </c>
      <c r="L327" s="51">
        <f t="shared" si="92"/>
        <v>488830.1</v>
      </c>
      <c r="M327" s="51">
        <f t="shared" si="92"/>
        <v>417.1</v>
      </c>
      <c r="N327" s="51">
        <f t="shared" si="92"/>
        <v>0</v>
      </c>
      <c r="O327" s="51">
        <f t="shared" si="92"/>
        <v>489247.2</v>
      </c>
      <c r="P327" s="51">
        <f>SUM(P329:P337)</f>
        <v>257.2</v>
      </c>
      <c r="Q327" s="51">
        <f>SUM(Q329:Q337)</f>
        <v>0</v>
      </c>
      <c r="R327" s="51">
        <f>SUM(R329:R337)</f>
        <v>489504.39999999997</v>
      </c>
    </row>
    <row r="328" spans="1:18" ht="12.75">
      <c r="A328" s="10" t="s">
        <v>38</v>
      </c>
      <c r="B328" s="10"/>
      <c r="C328" s="48"/>
      <c r="D328" s="48"/>
      <c r="E328" s="48"/>
      <c r="F328" s="47"/>
      <c r="G328" s="48"/>
      <c r="H328" s="48"/>
      <c r="I328" s="47"/>
      <c r="J328" s="48"/>
      <c r="K328" s="48"/>
      <c r="L328" s="47"/>
      <c r="M328" s="48"/>
      <c r="N328" s="48"/>
      <c r="O328" s="47"/>
      <c r="P328" s="75"/>
      <c r="Q328" s="75"/>
      <c r="R328" s="75"/>
    </row>
    <row r="329" spans="1:18" ht="12.75">
      <c r="A329" s="7" t="s">
        <v>100</v>
      </c>
      <c r="B329" s="7"/>
      <c r="C329" s="48">
        <v>218826</v>
      </c>
      <c r="D329" s="48"/>
      <c r="E329" s="48"/>
      <c r="F329" s="48">
        <f aca="true" t="shared" si="93" ref="F329:F337">C329+D329+E329</f>
        <v>218826</v>
      </c>
      <c r="G329" s="48"/>
      <c r="H329" s="48"/>
      <c r="I329" s="48">
        <f aca="true" t="shared" si="94" ref="I329:I337">F329+G329+H329</f>
        <v>218826</v>
      </c>
      <c r="J329" s="48">
        <v>-532</v>
      </c>
      <c r="K329" s="48"/>
      <c r="L329" s="48">
        <f aca="true" t="shared" si="95" ref="L329:L337">I329+J329+K329</f>
        <v>218294</v>
      </c>
      <c r="M329" s="48"/>
      <c r="N329" s="48"/>
      <c r="O329" s="48">
        <f aca="true" t="shared" si="96" ref="O329:O337">L329+M329+N329</f>
        <v>218294</v>
      </c>
      <c r="P329" s="75"/>
      <c r="Q329" s="75"/>
      <c r="R329" s="75">
        <f>O329+P329+Q329</f>
        <v>218294</v>
      </c>
    </row>
    <row r="330" spans="1:18" ht="12.75">
      <c r="A330" s="12" t="s">
        <v>86</v>
      </c>
      <c r="B330" s="12"/>
      <c r="C330" s="48">
        <v>176000</v>
      </c>
      <c r="D330" s="48"/>
      <c r="E330" s="48"/>
      <c r="F330" s="48">
        <f t="shared" si="93"/>
        <v>176000</v>
      </c>
      <c r="G330" s="48">
        <v>30000</v>
      </c>
      <c r="H330" s="48"/>
      <c r="I330" s="48">
        <f t="shared" si="94"/>
        <v>206000</v>
      </c>
      <c r="J330" s="48">
        <v>45000</v>
      </c>
      <c r="K330" s="48"/>
      <c r="L330" s="48">
        <f t="shared" si="95"/>
        <v>251000</v>
      </c>
      <c r="M330" s="48"/>
      <c r="N330" s="48"/>
      <c r="O330" s="48">
        <f t="shared" si="96"/>
        <v>251000</v>
      </c>
      <c r="P330" s="75"/>
      <c r="Q330" s="75"/>
      <c r="R330" s="75">
        <f aca="true" t="shared" si="97" ref="R330:R337">O330+P330+Q330</f>
        <v>251000</v>
      </c>
    </row>
    <row r="331" spans="1:18" ht="12.75">
      <c r="A331" s="12" t="s">
        <v>72</v>
      </c>
      <c r="B331" s="12"/>
      <c r="C331" s="55">
        <v>11000</v>
      </c>
      <c r="D331" s="48"/>
      <c r="E331" s="48">
        <v>1500</v>
      </c>
      <c r="F331" s="48">
        <f t="shared" si="93"/>
        <v>12500</v>
      </c>
      <c r="G331" s="48"/>
      <c r="H331" s="48"/>
      <c r="I331" s="48">
        <f t="shared" si="94"/>
        <v>12500</v>
      </c>
      <c r="J331" s="48">
        <f>1095.1</f>
        <v>1095.1</v>
      </c>
      <c r="K331" s="48"/>
      <c r="L331" s="48">
        <f t="shared" si="95"/>
        <v>13595.1</v>
      </c>
      <c r="M331" s="48"/>
      <c r="N331" s="48"/>
      <c r="O331" s="48">
        <f t="shared" si="96"/>
        <v>13595.1</v>
      </c>
      <c r="P331" s="75"/>
      <c r="Q331" s="75"/>
      <c r="R331" s="75">
        <f t="shared" si="97"/>
        <v>13595.1</v>
      </c>
    </row>
    <row r="332" spans="1:18" ht="12.75" hidden="1">
      <c r="A332" s="12" t="s">
        <v>189</v>
      </c>
      <c r="B332" s="12"/>
      <c r="C332" s="55"/>
      <c r="D332" s="48"/>
      <c r="E332" s="48"/>
      <c r="F332" s="48">
        <f t="shared" si="93"/>
        <v>0</v>
      </c>
      <c r="G332" s="48"/>
      <c r="H332" s="48"/>
      <c r="I332" s="48">
        <f t="shared" si="94"/>
        <v>0</v>
      </c>
      <c r="J332" s="48"/>
      <c r="K332" s="48"/>
      <c r="L332" s="48">
        <f t="shared" si="95"/>
        <v>0</v>
      </c>
      <c r="M332" s="48"/>
      <c r="N332" s="48"/>
      <c r="O332" s="48">
        <f t="shared" si="96"/>
        <v>0</v>
      </c>
      <c r="P332" s="75"/>
      <c r="Q332" s="75"/>
      <c r="R332" s="75">
        <f t="shared" si="97"/>
        <v>0</v>
      </c>
    </row>
    <row r="333" spans="1:18" ht="12.75">
      <c r="A333" s="12" t="s">
        <v>351</v>
      </c>
      <c r="B333" s="70">
        <v>35018</v>
      </c>
      <c r="C333" s="55"/>
      <c r="D333" s="48"/>
      <c r="E333" s="48"/>
      <c r="F333" s="48"/>
      <c r="G333" s="48"/>
      <c r="H333" s="48"/>
      <c r="I333" s="48">
        <f t="shared" si="94"/>
        <v>0</v>
      </c>
      <c r="J333" s="48">
        <v>5529.5</v>
      </c>
      <c r="K333" s="48"/>
      <c r="L333" s="48">
        <f t="shared" si="95"/>
        <v>5529.5</v>
      </c>
      <c r="M333" s="48"/>
      <c r="N333" s="48"/>
      <c r="O333" s="48">
        <f t="shared" si="96"/>
        <v>5529.5</v>
      </c>
      <c r="P333" s="75"/>
      <c r="Q333" s="75"/>
      <c r="R333" s="75">
        <f t="shared" si="97"/>
        <v>5529.5</v>
      </c>
    </row>
    <row r="334" spans="1:18" ht="12.75">
      <c r="A334" s="12" t="s">
        <v>127</v>
      </c>
      <c r="B334" s="70">
        <v>98335</v>
      </c>
      <c r="C334" s="48"/>
      <c r="D334" s="48"/>
      <c r="E334" s="48"/>
      <c r="F334" s="48">
        <f t="shared" si="93"/>
        <v>0</v>
      </c>
      <c r="G334" s="48">
        <v>139.7</v>
      </c>
      <c r="H334" s="48"/>
      <c r="I334" s="48">
        <f t="shared" si="94"/>
        <v>139.7</v>
      </c>
      <c r="J334" s="48"/>
      <c r="K334" s="48"/>
      <c r="L334" s="48">
        <f t="shared" si="95"/>
        <v>139.7</v>
      </c>
      <c r="M334" s="73">
        <v>239.2</v>
      </c>
      <c r="N334" s="48"/>
      <c r="O334" s="48">
        <f t="shared" si="96"/>
        <v>378.9</v>
      </c>
      <c r="P334" s="75">
        <v>145.4</v>
      </c>
      <c r="Q334" s="75"/>
      <c r="R334" s="75">
        <f t="shared" si="97"/>
        <v>524.3</v>
      </c>
    </row>
    <row r="335" spans="1:18" ht="12.75">
      <c r="A335" s="12" t="s">
        <v>346</v>
      </c>
      <c r="B335" s="70">
        <v>35050</v>
      </c>
      <c r="C335" s="48"/>
      <c r="D335" s="48"/>
      <c r="E335" s="48"/>
      <c r="F335" s="48"/>
      <c r="G335" s="48"/>
      <c r="H335" s="48"/>
      <c r="I335" s="48">
        <f t="shared" si="94"/>
        <v>0</v>
      </c>
      <c r="J335" s="48">
        <v>30</v>
      </c>
      <c r="K335" s="48"/>
      <c r="L335" s="48">
        <f t="shared" si="95"/>
        <v>30</v>
      </c>
      <c r="M335" s="73"/>
      <c r="N335" s="48"/>
      <c r="O335" s="48">
        <f t="shared" si="96"/>
        <v>30</v>
      </c>
      <c r="P335" s="75"/>
      <c r="Q335" s="75"/>
      <c r="R335" s="75">
        <f t="shared" si="97"/>
        <v>30</v>
      </c>
    </row>
    <row r="336" spans="1:18" ht="12.75">
      <c r="A336" s="12" t="s">
        <v>374</v>
      </c>
      <c r="B336" s="70">
        <v>35063</v>
      </c>
      <c r="C336" s="48"/>
      <c r="D336" s="48"/>
      <c r="E336" s="48"/>
      <c r="F336" s="48">
        <f t="shared" si="93"/>
        <v>0</v>
      </c>
      <c r="G336" s="48"/>
      <c r="H336" s="48"/>
      <c r="I336" s="48">
        <f t="shared" si="94"/>
        <v>0</v>
      </c>
      <c r="J336" s="48"/>
      <c r="K336" s="48"/>
      <c r="L336" s="48">
        <f t="shared" si="95"/>
        <v>0</v>
      </c>
      <c r="M336" s="48">
        <v>100</v>
      </c>
      <c r="N336" s="48"/>
      <c r="O336" s="48">
        <f t="shared" si="96"/>
        <v>100</v>
      </c>
      <c r="P336" s="75"/>
      <c r="Q336" s="75"/>
      <c r="R336" s="75">
        <f t="shared" si="97"/>
        <v>100</v>
      </c>
    </row>
    <row r="337" spans="1:18" ht="12.75">
      <c r="A337" s="12" t="s">
        <v>128</v>
      </c>
      <c r="B337" s="70">
        <v>98297</v>
      </c>
      <c r="C337" s="48"/>
      <c r="D337" s="48"/>
      <c r="E337" s="48"/>
      <c r="F337" s="48">
        <f t="shared" si="93"/>
        <v>0</v>
      </c>
      <c r="G337" s="48"/>
      <c r="H337" s="48"/>
      <c r="I337" s="48">
        <f t="shared" si="94"/>
        <v>0</v>
      </c>
      <c r="J337" s="48">
        <f>180.3+61.5</f>
        <v>241.8</v>
      </c>
      <c r="K337" s="48"/>
      <c r="L337" s="48">
        <f t="shared" si="95"/>
        <v>241.8</v>
      </c>
      <c r="M337" s="48">
        <v>77.9</v>
      </c>
      <c r="N337" s="48"/>
      <c r="O337" s="48">
        <f t="shared" si="96"/>
        <v>319.70000000000005</v>
      </c>
      <c r="P337" s="75">
        <v>111.8</v>
      </c>
      <c r="Q337" s="75"/>
      <c r="R337" s="75">
        <f t="shared" si="97"/>
        <v>431.50000000000006</v>
      </c>
    </row>
    <row r="338" spans="1:18" ht="12.75">
      <c r="A338" s="14" t="s">
        <v>75</v>
      </c>
      <c r="B338" s="74"/>
      <c r="C338" s="51">
        <f aca="true" t="shared" si="98" ref="C338:R338">SUM(C340:C342)</f>
        <v>300000</v>
      </c>
      <c r="D338" s="51">
        <f t="shared" si="98"/>
        <v>-300000</v>
      </c>
      <c r="E338" s="51">
        <f t="shared" si="98"/>
        <v>0</v>
      </c>
      <c r="F338" s="51">
        <f t="shared" si="98"/>
        <v>0</v>
      </c>
      <c r="G338" s="51">
        <f t="shared" si="98"/>
        <v>0</v>
      </c>
      <c r="H338" s="51">
        <f t="shared" si="98"/>
        <v>0</v>
      </c>
      <c r="I338" s="51">
        <f t="shared" si="98"/>
        <v>0</v>
      </c>
      <c r="J338" s="51">
        <f t="shared" si="98"/>
        <v>674.8</v>
      </c>
      <c r="K338" s="51">
        <f t="shared" si="98"/>
        <v>0</v>
      </c>
      <c r="L338" s="51">
        <f t="shared" si="98"/>
        <v>674.8</v>
      </c>
      <c r="M338" s="51">
        <f t="shared" si="98"/>
        <v>0</v>
      </c>
      <c r="N338" s="51">
        <f t="shared" si="98"/>
        <v>300</v>
      </c>
      <c r="O338" s="51">
        <f t="shared" si="98"/>
        <v>974.8</v>
      </c>
      <c r="P338" s="51">
        <f t="shared" si="98"/>
        <v>0</v>
      </c>
      <c r="Q338" s="51">
        <f t="shared" si="98"/>
        <v>0</v>
      </c>
      <c r="R338" s="51">
        <f t="shared" si="98"/>
        <v>974.8</v>
      </c>
    </row>
    <row r="339" spans="1:18" ht="12.75">
      <c r="A339" s="10" t="s">
        <v>38</v>
      </c>
      <c r="B339" s="10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75"/>
      <c r="Q339" s="75"/>
      <c r="R339" s="75"/>
    </row>
    <row r="340" spans="1:18" ht="12.75">
      <c r="A340" s="12" t="s">
        <v>260</v>
      </c>
      <c r="B340" s="12"/>
      <c r="C340" s="48">
        <v>300000</v>
      </c>
      <c r="D340" s="48">
        <v>-300000</v>
      </c>
      <c r="E340" s="48"/>
      <c r="F340" s="48">
        <f>C340+D340+E340</f>
        <v>0</v>
      </c>
      <c r="G340" s="48"/>
      <c r="H340" s="48"/>
      <c r="I340" s="48">
        <f>F340+G340+H340</f>
        <v>0</v>
      </c>
      <c r="J340" s="48"/>
      <c r="K340" s="48"/>
      <c r="L340" s="48">
        <f>I340+J340+K340</f>
        <v>0</v>
      </c>
      <c r="M340" s="48"/>
      <c r="N340" s="48"/>
      <c r="O340" s="48">
        <f>L340+M340+N340</f>
        <v>0</v>
      </c>
      <c r="P340" s="75"/>
      <c r="Q340" s="75"/>
      <c r="R340" s="75">
        <f>O340+P340+Q340</f>
        <v>0</v>
      </c>
    </row>
    <row r="341" spans="1:18" ht="12.75">
      <c r="A341" s="12" t="s">
        <v>92</v>
      </c>
      <c r="B341" s="12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>
        <v>300</v>
      </c>
      <c r="O341" s="48">
        <f>L341+M341+N341</f>
        <v>300</v>
      </c>
      <c r="P341" s="75"/>
      <c r="Q341" s="75"/>
      <c r="R341" s="75">
        <f>O341+P341+Q341</f>
        <v>300</v>
      </c>
    </row>
    <row r="342" spans="1:18" ht="12.75">
      <c r="A342" s="11" t="s">
        <v>76</v>
      </c>
      <c r="B342" s="11"/>
      <c r="C342" s="52"/>
      <c r="D342" s="52"/>
      <c r="E342" s="52"/>
      <c r="F342" s="52">
        <f>C342+D342+E342</f>
        <v>0</v>
      </c>
      <c r="G342" s="52"/>
      <c r="H342" s="52"/>
      <c r="I342" s="52">
        <f>F342+G342+H342</f>
        <v>0</v>
      </c>
      <c r="J342" s="52">
        <f>674.8</f>
        <v>674.8</v>
      </c>
      <c r="K342" s="52"/>
      <c r="L342" s="52">
        <f>I342+J342+K342</f>
        <v>674.8</v>
      </c>
      <c r="M342" s="52"/>
      <c r="N342" s="52"/>
      <c r="O342" s="52">
        <f>L342+M342+N342</f>
        <v>674.8</v>
      </c>
      <c r="P342" s="85"/>
      <c r="Q342" s="85"/>
      <c r="R342" s="85">
        <f>O342+P342+Q342</f>
        <v>674.8</v>
      </c>
    </row>
    <row r="343" spans="1:18" ht="12.75">
      <c r="A343" s="20" t="s">
        <v>129</v>
      </c>
      <c r="B343" s="20"/>
      <c r="C343" s="49">
        <f aca="true" t="shared" si="99" ref="C343:O343">C344+C355</f>
        <v>142965</v>
      </c>
      <c r="D343" s="49">
        <f t="shared" si="99"/>
        <v>0</v>
      </c>
      <c r="E343" s="49">
        <f t="shared" si="99"/>
        <v>28285.8</v>
      </c>
      <c r="F343" s="49">
        <f t="shared" si="99"/>
        <v>171250.8</v>
      </c>
      <c r="G343" s="49">
        <f t="shared" si="99"/>
        <v>-27874.8</v>
      </c>
      <c r="H343" s="49">
        <f t="shared" si="99"/>
        <v>0</v>
      </c>
      <c r="I343" s="49">
        <f t="shared" si="99"/>
        <v>143376</v>
      </c>
      <c r="J343" s="49">
        <f t="shared" si="99"/>
        <v>139</v>
      </c>
      <c r="K343" s="49">
        <f t="shared" si="99"/>
        <v>0</v>
      </c>
      <c r="L343" s="49">
        <f t="shared" si="99"/>
        <v>143515</v>
      </c>
      <c r="M343" s="49">
        <f t="shared" si="99"/>
        <v>793.2</v>
      </c>
      <c r="N343" s="49">
        <f t="shared" si="99"/>
        <v>0</v>
      </c>
      <c r="O343" s="49">
        <f t="shared" si="99"/>
        <v>144308.2</v>
      </c>
      <c r="P343" s="49">
        <f>P344+P355</f>
        <v>623.2</v>
      </c>
      <c r="Q343" s="49">
        <f>Q344+Q355</f>
        <v>0</v>
      </c>
      <c r="R343" s="49">
        <f>R344+R355</f>
        <v>144931.4</v>
      </c>
    </row>
    <row r="344" spans="1:18" ht="12.75">
      <c r="A344" s="14" t="s">
        <v>69</v>
      </c>
      <c r="B344" s="14"/>
      <c r="C344" s="51">
        <f aca="true" t="shared" si="100" ref="C344:O344">SUM(C346:C354)</f>
        <v>142965</v>
      </c>
      <c r="D344" s="51">
        <f t="shared" si="100"/>
        <v>0</v>
      </c>
      <c r="E344" s="51">
        <f t="shared" si="100"/>
        <v>1791</v>
      </c>
      <c r="F344" s="51">
        <f t="shared" si="100"/>
        <v>144756</v>
      </c>
      <c r="G344" s="51">
        <f t="shared" si="100"/>
        <v>-1380</v>
      </c>
      <c r="H344" s="51">
        <f t="shared" si="100"/>
        <v>0</v>
      </c>
      <c r="I344" s="51">
        <f t="shared" si="100"/>
        <v>143376</v>
      </c>
      <c r="J344" s="51">
        <f t="shared" si="100"/>
        <v>139</v>
      </c>
      <c r="K344" s="51">
        <f t="shared" si="100"/>
        <v>0</v>
      </c>
      <c r="L344" s="51">
        <f t="shared" si="100"/>
        <v>143515</v>
      </c>
      <c r="M344" s="51">
        <f t="shared" si="100"/>
        <v>793.2</v>
      </c>
      <c r="N344" s="51">
        <f t="shared" si="100"/>
        <v>0</v>
      </c>
      <c r="O344" s="51">
        <f t="shared" si="100"/>
        <v>144308.2</v>
      </c>
      <c r="P344" s="51">
        <f>SUM(P346:P354)</f>
        <v>352.2</v>
      </c>
      <c r="Q344" s="51">
        <f>SUM(Q346:Q354)</f>
        <v>0</v>
      </c>
      <c r="R344" s="51">
        <f>SUM(R346:R354)</f>
        <v>144660.4</v>
      </c>
    </row>
    <row r="345" spans="1:18" ht="12.75">
      <c r="A345" s="10" t="s">
        <v>38</v>
      </c>
      <c r="B345" s="10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75"/>
      <c r="Q345" s="75"/>
      <c r="R345" s="75"/>
    </row>
    <row r="346" spans="1:18" ht="12.75">
      <c r="A346" s="12" t="s">
        <v>100</v>
      </c>
      <c r="B346" s="12"/>
      <c r="C346" s="48">
        <v>123300</v>
      </c>
      <c r="D346" s="48"/>
      <c r="E346" s="48"/>
      <c r="F346" s="48">
        <f>C346+D346+E346</f>
        <v>123300</v>
      </c>
      <c r="G346" s="48"/>
      <c r="H346" s="48">
        <v>300</v>
      </c>
      <c r="I346" s="48">
        <f>F346+G346+H346</f>
        <v>123600</v>
      </c>
      <c r="J346" s="48"/>
      <c r="K346" s="48"/>
      <c r="L346" s="48">
        <f>I346+J346+K346</f>
        <v>123600</v>
      </c>
      <c r="M346" s="48">
        <f>440+72</f>
        <v>512</v>
      </c>
      <c r="N346" s="48"/>
      <c r="O346" s="48">
        <f>L346+M346+N346</f>
        <v>124112</v>
      </c>
      <c r="P346" s="75">
        <f>175+70+50+100</f>
        <v>395</v>
      </c>
      <c r="Q346" s="75"/>
      <c r="R346" s="75">
        <f>O346+P346+Q346</f>
        <v>124507</v>
      </c>
    </row>
    <row r="347" spans="1:18" ht="12.75">
      <c r="A347" s="12" t="s">
        <v>72</v>
      </c>
      <c r="B347" s="12"/>
      <c r="C347" s="48">
        <v>16550</v>
      </c>
      <c r="D347" s="48"/>
      <c r="E347" s="48"/>
      <c r="F347" s="48">
        <f aca="true" t="shared" si="101" ref="F347:F354">C347+D347+E347</f>
        <v>16550</v>
      </c>
      <c r="G347" s="48">
        <f>-37+250</f>
        <v>213</v>
      </c>
      <c r="H347" s="48">
        <f>-4168-670-300</f>
        <v>-5138</v>
      </c>
      <c r="I347" s="48">
        <f aca="true" t="shared" si="102" ref="I347:I354">F347+G347+H347</f>
        <v>11625</v>
      </c>
      <c r="J347" s="48">
        <v>300</v>
      </c>
      <c r="K347" s="48"/>
      <c r="L347" s="48">
        <f aca="true" t="shared" si="103" ref="L347:L354">I347+J347+K347</f>
        <v>11925</v>
      </c>
      <c r="M347" s="48">
        <f>-440-72+120.2</f>
        <v>-391.8</v>
      </c>
      <c r="N347" s="48"/>
      <c r="O347" s="48">
        <f aca="true" t="shared" si="104" ref="O347:O354">L347+M347+N347</f>
        <v>11533.2</v>
      </c>
      <c r="P347" s="75">
        <f>24.2-70-50-100</f>
        <v>-195.8</v>
      </c>
      <c r="Q347" s="75"/>
      <c r="R347" s="75">
        <f aca="true" t="shared" si="105" ref="R347:R354">O347+P347+Q347</f>
        <v>11337.400000000001</v>
      </c>
    </row>
    <row r="348" spans="1:18" ht="12.75">
      <c r="A348" s="12" t="s">
        <v>176</v>
      </c>
      <c r="B348" s="12"/>
      <c r="C348" s="48">
        <v>3115</v>
      </c>
      <c r="D348" s="48"/>
      <c r="E348" s="48"/>
      <c r="F348" s="48">
        <f t="shared" si="101"/>
        <v>3115</v>
      </c>
      <c r="G348" s="48">
        <v>37</v>
      </c>
      <c r="H348" s="48"/>
      <c r="I348" s="48">
        <f t="shared" si="102"/>
        <v>3152</v>
      </c>
      <c r="J348" s="48"/>
      <c r="K348" s="48"/>
      <c r="L348" s="48">
        <f t="shared" si="103"/>
        <v>3152</v>
      </c>
      <c r="M348" s="48"/>
      <c r="N348" s="48"/>
      <c r="O348" s="48">
        <f t="shared" si="104"/>
        <v>3152</v>
      </c>
      <c r="P348" s="75"/>
      <c r="Q348" s="75"/>
      <c r="R348" s="75">
        <f t="shared" si="105"/>
        <v>3152</v>
      </c>
    </row>
    <row r="349" spans="1:18" ht="12.75">
      <c r="A349" s="12" t="s">
        <v>87</v>
      </c>
      <c r="B349" s="12"/>
      <c r="C349" s="48"/>
      <c r="D349" s="48"/>
      <c r="E349" s="48"/>
      <c r="F349" s="48">
        <f t="shared" si="101"/>
        <v>0</v>
      </c>
      <c r="G349" s="48"/>
      <c r="H349" s="48">
        <f>4168+670</f>
        <v>4838</v>
      </c>
      <c r="I349" s="48">
        <f t="shared" si="102"/>
        <v>4838</v>
      </c>
      <c r="J349" s="48"/>
      <c r="K349" s="48"/>
      <c r="L349" s="48">
        <f t="shared" si="103"/>
        <v>4838</v>
      </c>
      <c r="M349" s="48"/>
      <c r="N349" s="48"/>
      <c r="O349" s="48">
        <f t="shared" si="104"/>
        <v>4838</v>
      </c>
      <c r="P349" s="75"/>
      <c r="Q349" s="75"/>
      <c r="R349" s="75">
        <f t="shared" si="105"/>
        <v>4838</v>
      </c>
    </row>
    <row r="350" spans="1:18" ht="12.75">
      <c r="A350" s="12" t="s">
        <v>130</v>
      </c>
      <c r="B350" s="70">
        <v>34070</v>
      </c>
      <c r="C350" s="48"/>
      <c r="D350" s="48"/>
      <c r="E350" s="48"/>
      <c r="F350" s="48">
        <f t="shared" si="101"/>
        <v>0</v>
      </c>
      <c r="G350" s="48"/>
      <c r="H350" s="48"/>
      <c r="I350" s="48">
        <f t="shared" si="102"/>
        <v>0</v>
      </c>
      <c r="J350" s="48"/>
      <c r="K350" s="48"/>
      <c r="L350" s="48">
        <f t="shared" si="103"/>
        <v>0</v>
      </c>
      <c r="M350" s="48">
        <v>325</v>
      </c>
      <c r="N350" s="48"/>
      <c r="O350" s="48">
        <f t="shared" si="104"/>
        <v>325</v>
      </c>
      <c r="P350" s="75">
        <f>22+80</f>
        <v>102</v>
      </c>
      <c r="Q350" s="75"/>
      <c r="R350" s="75">
        <f t="shared" si="105"/>
        <v>427</v>
      </c>
    </row>
    <row r="351" spans="1:18" ht="12.75">
      <c r="A351" s="12" t="s">
        <v>131</v>
      </c>
      <c r="B351" s="70">
        <v>34053</v>
      </c>
      <c r="C351" s="48"/>
      <c r="D351" s="48"/>
      <c r="E351" s="48"/>
      <c r="F351" s="48">
        <f t="shared" si="101"/>
        <v>0</v>
      </c>
      <c r="G351" s="48"/>
      <c r="H351" s="48"/>
      <c r="I351" s="48">
        <f t="shared" si="102"/>
        <v>0</v>
      </c>
      <c r="J351" s="48"/>
      <c r="K351" s="48"/>
      <c r="L351" s="48">
        <f t="shared" si="103"/>
        <v>0</v>
      </c>
      <c r="M351" s="48">
        <v>348</v>
      </c>
      <c r="N351" s="48"/>
      <c r="O351" s="48">
        <f t="shared" si="104"/>
        <v>348</v>
      </c>
      <c r="P351" s="75">
        <v>51</v>
      </c>
      <c r="Q351" s="75"/>
      <c r="R351" s="75">
        <f t="shared" si="105"/>
        <v>399</v>
      </c>
    </row>
    <row r="352" spans="1:18" ht="12.75" hidden="1">
      <c r="A352" s="12" t="s">
        <v>211</v>
      </c>
      <c r="B352" s="12"/>
      <c r="C352" s="48"/>
      <c r="D352" s="48"/>
      <c r="E352" s="48"/>
      <c r="F352" s="48">
        <f t="shared" si="101"/>
        <v>0</v>
      </c>
      <c r="G352" s="48"/>
      <c r="H352" s="48"/>
      <c r="I352" s="48">
        <f t="shared" si="102"/>
        <v>0</v>
      </c>
      <c r="J352" s="48"/>
      <c r="K352" s="48"/>
      <c r="L352" s="48">
        <f t="shared" si="103"/>
        <v>0</v>
      </c>
      <c r="M352" s="48"/>
      <c r="N352" s="48"/>
      <c r="O352" s="48">
        <f t="shared" si="104"/>
        <v>0</v>
      </c>
      <c r="P352" s="75"/>
      <c r="Q352" s="75"/>
      <c r="R352" s="75">
        <f t="shared" si="105"/>
        <v>0</v>
      </c>
    </row>
    <row r="353" spans="1:18" ht="12.75" hidden="1">
      <c r="A353" s="12" t="s">
        <v>104</v>
      </c>
      <c r="B353" s="12"/>
      <c r="C353" s="48"/>
      <c r="D353" s="48"/>
      <c r="E353" s="48"/>
      <c r="F353" s="48">
        <f t="shared" si="101"/>
        <v>0</v>
      </c>
      <c r="G353" s="48"/>
      <c r="H353" s="48"/>
      <c r="I353" s="48">
        <f t="shared" si="102"/>
        <v>0</v>
      </c>
      <c r="J353" s="48"/>
      <c r="K353" s="48"/>
      <c r="L353" s="48">
        <f t="shared" si="103"/>
        <v>0</v>
      </c>
      <c r="M353" s="48"/>
      <c r="N353" s="48"/>
      <c r="O353" s="48">
        <f t="shared" si="104"/>
        <v>0</v>
      </c>
      <c r="P353" s="75"/>
      <c r="Q353" s="75"/>
      <c r="R353" s="75">
        <f t="shared" si="105"/>
        <v>0</v>
      </c>
    </row>
    <row r="354" spans="1:18" ht="12.75" hidden="1">
      <c r="A354" s="12" t="s">
        <v>292</v>
      </c>
      <c r="B354" s="70">
        <v>33037</v>
      </c>
      <c r="C354" s="48"/>
      <c r="D354" s="48"/>
      <c r="E354" s="48">
        <v>1791</v>
      </c>
      <c r="F354" s="48">
        <f t="shared" si="101"/>
        <v>1791</v>
      </c>
      <c r="G354" s="48">
        <v>-1630</v>
      </c>
      <c r="H354" s="48"/>
      <c r="I354" s="48">
        <f t="shared" si="102"/>
        <v>161</v>
      </c>
      <c r="J354" s="48">
        <v>-161</v>
      </c>
      <c r="K354" s="48"/>
      <c r="L354" s="48">
        <f t="shared" si="103"/>
        <v>0</v>
      </c>
      <c r="M354" s="48"/>
      <c r="N354" s="48"/>
      <c r="O354" s="48">
        <f t="shared" si="104"/>
        <v>0</v>
      </c>
      <c r="P354" s="75"/>
      <c r="Q354" s="75"/>
      <c r="R354" s="75">
        <f t="shared" si="105"/>
        <v>0</v>
      </c>
    </row>
    <row r="355" spans="1:18" ht="12.75">
      <c r="A355" s="14" t="s">
        <v>75</v>
      </c>
      <c r="B355" s="14"/>
      <c r="C355" s="51">
        <f aca="true" t="shared" si="106" ref="C355:R355">SUM(C357:C363)</f>
        <v>0</v>
      </c>
      <c r="D355" s="51">
        <f t="shared" si="106"/>
        <v>0</v>
      </c>
      <c r="E355" s="51">
        <f t="shared" si="106"/>
        <v>26494.8</v>
      </c>
      <c r="F355" s="51">
        <f t="shared" si="106"/>
        <v>26494.8</v>
      </c>
      <c r="G355" s="51">
        <f t="shared" si="106"/>
        <v>-26494.8</v>
      </c>
      <c r="H355" s="51">
        <f t="shared" si="106"/>
        <v>0</v>
      </c>
      <c r="I355" s="51">
        <f t="shared" si="106"/>
        <v>0</v>
      </c>
      <c r="J355" s="51">
        <f t="shared" si="106"/>
        <v>0</v>
      </c>
      <c r="K355" s="51">
        <f t="shared" si="106"/>
        <v>0</v>
      </c>
      <c r="L355" s="51">
        <f t="shared" si="106"/>
        <v>0</v>
      </c>
      <c r="M355" s="51">
        <f t="shared" si="106"/>
        <v>0</v>
      </c>
      <c r="N355" s="51">
        <f t="shared" si="106"/>
        <v>0</v>
      </c>
      <c r="O355" s="51">
        <f t="shared" si="106"/>
        <v>0</v>
      </c>
      <c r="P355" s="51">
        <f t="shared" si="106"/>
        <v>271</v>
      </c>
      <c r="Q355" s="51">
        <f t="shared" si="106"/>
        <v>0</v>
      </c>
      <c r="R355" s="51">
        <f t="shared" si="106"/>
        <v>271</v>
      </c>
    </row>
    <row r="356" spans="1:18" ht="12.75">
      <c r="A356" s="10" t="s">
        <v>38</v>
      </c>
      <c r="B356" s="10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75"/>
      <c r="Q356" s="75"/>
      <c r="R356" s="75"/>
    </row>
    <row r="357" spans="1:18" ht="12.75" hidden="1">
      <c r="A357" s="12" t="s">
        <v>292</v>
      </c>
      <c r="B357" s="70">
        <v>33939</v>
      </c>
      <c r="C357" s="48"/>
      <c r="D357" s="48"/>
      <c r="E357" s="48">
        <v>23144.8</v>
      </c>
      <c r="F357" s="48">
        <f>C357+D357+E357</f>
        <v>23144.8</v>
      </c>
      <c r="G357" s="48">
        <v>-23144.8</v>
      </c>
      <c r="H357" s="48"/>
      <c r="I357" s="48">
        <f>F357+G357+H357</f>
        <v>0</v>
      </c>
      <c r="J357" s="48"/>
      <c r="K357" s="48"/>
      <c r="L357" s="48">
        <f>I357+J357+K357</f>
        <v>0</v>
      </c>
      <c r="M357" s="48"/>
      <c r="N357" s="48"/>
      <c r="O357" s="48">
        <f aca="true" t="shared" si="107" ref="O357:O363">L357+M357+N357</f>
        <v>0</v>
      </c>
      <c r="P357" s="75"/>
      <c r="Q357" s="75"/>
      <c r="R357" s="75">
        <f aca="true" t="shared" si="108" ref="R357:R363">O357+P357+Q357</f>
        <v>0</v>
      </c>
    </row>
    <row r="358" spans="1:18" ht="12.75" hidden="1">
      <c r="A358" s="12" t="s">
        <v>211</v>
      </c>
      <c r="B358" s="12"/>
      <c r="C358" s="48"/>
      <c r="D358" s="48"/>
      <c r="E358" s="48"/>
      <c r="F358" s="48">
        <f>C358+D358+E358</f>
        <v>0</v>
      </c>
      <c r="G358" s="48"/>
      <c r="H358" s="48"/>
      <c r="I358" s="48">
        <f>F358+G358+H358</f>
        <v>0</v>
      </c>
      <c r="J358" s="48"/>
      <c r="K358" s="48"/>
      <c r="L358" s="48">
        <f>I358+J358+K358</f>
        <v>0</v>
      </c>
      <c r="M358" s="48"/>
      <c r="N358" s="48"/>
      <c r="O358" s="48">
        <f t="shared" si="107"/>
        <v>0</v>
      </c>
      <c r="P358" s="75"/>
      <c r="Q358" s="75"/>
      <c r="R358" s="75">
        <f t="shared" si="108"/>
        <v>0</v>
      </c>
    </row>
    <row r="359" spans="1:18" ht="12.75">
      <c r="A359" s="12" t="s">
        <v>131</v>
      </c>
      <c r="B359" s="12">
        <v>34544</v>
      </c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>
        <f t="shared" si="107"/>
        <v>0</v>
      </c>
      <c r="P359" s="75">
        <v>175</v>
      </c>
      <c r="Q359" s="75"/>
      <c r="R359" s="75">
        <f t="shared" si="108"/>
        <v>175</v>
      </c>
    </row>
    <row r="360" spans="1:18" ht="12.75">
      <c r="A360" s="19" t="s">
        <v>388</v>
      </c>
      <c r="B360" s="19">
        <v>34941</v>
      </c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>
        <f t="shared" si="107"/>
        <v>0</v>
      </c>
      <c r="P360" s="85">
        <v>96</v>
      </c>
      <c r="Q360" s="85"/>
      <c r="R360" s="85">
        <f t="shared" si="108"/>
        <v>96</v>
      </c>
    </row>
    <row r="361" spans="1:18" ht="12.75" hidden="1">
      <c r="A361" s="29" t="s">
        <v>92</v>
      </c>
      <c r="B361" s="29"/>
      <c r="C361" s="48"/>
      <c r="D361" s="48"/>
      <c r="E361" s="48"/>
      <c r="F361" s="48">
        <f>C361+D361+E361</f>
        <v>0</v>
      </c>
      <c r="G361" s="48"/>
      <c r="H361" s="48"/>
      <c r="I361" s="48">
        <f>F361+G361+H361</f>
        <v>0</v>
      </c>
      <c r="J361" s="48"/>
      <c r="K361" s="48"/>
      <c r="L361" s="48">
        <f>I361+J361+K361</f>
        <v>0</v>
      </c>
      <c r="M361" s="48"/>
      <c r="N361" s="48"/>
      <c r="O361" s="48">
        <f t="shared" si="107"/>
        <v>0</v>
      </c>
      <c r="P361" s="75"/>
      <c r="Q361" s="75"/>
      <c r="R361" s="75">
        <f t="shared" si="108"/>
        <v>0</v>
      </c>
    </row>
    <row r="362" spans="1:18" ht="12.75" hidden="1">
      <c r="A362" s="29" t="s">
        <v>76</v>
      </c>
      <c r="B362" s="29"/>
      <c r="C362" s="48"/>
      <c r="D362" s="48"/>
      <c r="E362" s="48"/>
      <c r="F362" s="48">
        <f>C362+D362+E362</f>
        <v>0</v>
      </c>
      <c r="G362" s="48"/>
      <c r="H362" s="48"/>
      <c r="I362" s="48">
        <f>F362+G362+H362</f>
        <v>0</v>
      </c>
      <c r="J362" s="48"/>
      <c r="K362" s="48"/>
      <c r="L362" s="48">
        <f>I362+J362+K362</f>
        <v>0</v>
      </c>
      <c r="M362" s="48"/>
      <c r="N362" s="48"/>
      <c r="O362" s="48">
        <f t="shared" si="107"/>
        <v>0</v>
      </c>
      <c r="P362" s="75"/>
      <c r="Q362" s="75"/>
      <c r="R362" s="75">
        <f t="shared" si="108"/>
        <v>0</v>
      </c>
    </row>
    <row r="363" spans="1:18" ht="12.75" hidden="1">
      <c r="A363" s="19" t="s">
        <v>104</v>
      </c>
      <c r="B363" s="19"/>
      <c r="C363" s="52"/>
      <c r="D363" s="52"/>
      <c r="E363" s="52">
        <v>3350</v>
      </c>
      <c r="F363" s="52">
        <f>C363+D363+E363</f>
        <v>3350</v>
      </c>
      <c r="G363" s="52">
        <f>-1000-2350</f>
        <v>-3350</v>
      </c>
      <c r="H363" s="52"/>
      <c r="I363" s="52">
        <f>F363+G363+H363</f>
        <v>0</v>
      </c>
      <c r="J363" s="52"/>
      <c r="K363" s="52"/>
      <c r="L363" s="52">
        <f>I363+J363+K363</f>
        <v>0</v>
      </c>
      <c r="M363" s="56"/>
      <c r="N363" s="52"/>
      <c r="O363" s="52">
        <f t="shared" si="107"/>
        <v>0</v>
      </c>
      <c r="P363" s="85"/>
      <c r="Q363" s="85"/>
      <c r="R363" s="85">
        <f t="shared" si="108"/>
        <v>0</v>
      </c>
    </row>
    <row r="364" spans="1:18" ht="12.75">
      <c r="A364" s="20" t="s">
        <v>255</v>
      </c>
      <c r="B364" s="20"/>
      <c r="C364" s="47">
        <f aca="true" t="shared" si="109" ref="C364:O364">C365+C389</f>
        <v>149420.3</v>
      </c>
      <c r="D364" s="47">
        <f t="shared" si="109"/>
        <v>354190</v>
      </c>
      <c r="E364" s="47">
        <f t="shared" si="109"/>
        <v>322879.7</v>
      </c>
      <c r="F364" s="47">
        <f t="shared" si="109"/>
        <v>826490</v>
      </c>
      <c r="G364" s="47">
        <f t="shared" si="109"/>
        <v>143011.69999999998</v>
      </c>
      <c r="H364" s="47">
        <f t="shared" si="109"/>
        <v>0</v>
      </c>
      <c r="I364" s="47">
        <f t="shared" si="109"/>
        <v>969501.7</v>
      </c>
      <c r="J364" s="47">
        <f t="shared" si="109"/>
        <v>46437.6</v>
      </c>
      <c r="K364" s="47">
        <f t="shared" si="109"/>
        <v>1144.3</v>
      </c>
      <c r="L364" s="47">
        <f t="shared" si="109"/>
        <v>1017083.6</v>
      </c>
      <c r="M364" s="47">
        <f t="shared" si="109"/>
        <v>71858.9</v>
      </c>
      <c r="N364" s="47">
        <f t="shared" si="109"/>
        <v>0</v>
      </c>
      <c r="O364" s="47">
        <f t="shared" si="109"/>
        <v>1088942.5</v>
      </c>
      <c r="P364" s="47">
        <f>P365+P389</f>
        <v>40714.50000000001</v>
      </c>
      <c r="Q364" s="47">
        <f>Q365+Q389</f>
        <v>0</v>
      </c>
      <c r="R364" s="47">
        <f>R365+R389</f>
        <v>1129657</v>
      </c>
    </row>
    <row r="365" spans="1:18" ht="12.75">
      <c r="A365" s="14" t="s">
        <v>69</v>
      </c>
      <c r="B365" s="14"/>
      <c r="C365" s="51">
        <f aca="true" t="shared" si="110" ref="C365:O365">SUM(C367:C380)</f>
        <v>32100</v>
      </c>
      <c r="D365" s="51">
        <f t="shared" si="110"/>
        <v>9190</v>
      </c>
      <c r="E365" s="51">
        <f t="shared" si="110"/>
        <v>4940.8</v>
      </c>
      <c r="F365" s="51">
        <f t="shared" si="110"/>
        <v>46230.8</v>
      </c>
      <c r="G365" s="51">
        <f t="shared" si="110"/>
        <v>8463.5</v>
      </c>
      <c r="H365" s="51">
        <f t="shared" si="110"/>
        <v>2500</v>
      </c>
      <c r="I365" s="51">
        <f t="shared" si="110"/>
        <v>57194.3</v>
      </c>
      <c r="J365" s="51">
        <f t="shared" si="110"/>
        <v>6004</v>
      </c>
      <c r="K365" s="51">
        <f t="shared" si="110"/>
        <v>0</v>
      </c>
      <c r="L365" s="51">
        <f t="shared" si="110"/>
        <v>63198.3</v>
      </c>
      <c r="M365" s="51">
        <f t="shared" si="110"/>
        <v>-2050</v>
      </c>
      <c r="N365" s="51">
        <f t="shared" si="110"/>
        <v>0</v>
      </c>
      <c r="O365" s="51">
        <f t="shared" si="110"/>
        <v>61148.299999999996</v>
      </c>
      <c r="P365" s="51">
        <f>SUM(P367:P380)</f>
        <v>1507</v>
      </c>
      <c r="Q365" s="51">
        <f>SUM(Q367:Q380)</f>
        <v>0</v>
      </c>
      <c r="R365" s="51">
        <f>SUM(R367:R380)</f>
        <v>62655.3</v>
      </c>
    </row>
    <row r="366" spans="1:18" ht="12.75">
      <c r="A366" s="10" t="s">
        <v>38</v>
      </c>
      <c r="B366" s="10"/>
      <c r="C366" s="51"/>
      <c r="D366" s="51"/>
      <c r="E366" s="51"/>
      <c r="F366" s="51"/>
      <c r="G366" s="48"/>
      <c r="H366" s="48"/>
      <c r="I366" s="48"/>
      <c r="J366" s="48"/>
      <c r="K366" s="48"/>
      <c r="L366" s="48"/>
      <c r="M366" s="55"/>
      <c r="N366" s="48"/>
      <c r="O366" s="48"/>
      <c r="P366" s="75"/>
      <c r="Q366" s="75"/>
      <c r="R366" s="75"/>
    </row>
    <row r="367" spans="1:18" ht="12.75">
      <c r="A367" s="12" t="s">
        <v>72</v>
      </c>
      <c r="B367" s="12"/>
      <c r="C367" s="48"/>
      <c r="D367" s="48">
        <v>600</v>
      </c>
      <c r="E367" s="48"/>
      <c r="F367" s="48">
        <f aca="true" t="shared" si="111" ref="F367:F388">C367+D367+E367</f>
        <v>600</v>
      </c>
      <c r="G367" s="48">
        <f>1700+835.8</f>
        <v>2535.8</v>
      </c>
      <c r="H367" s="48"/>
      <c r="I367" s="48">
        <f>F367+G367+H367</f>
        <v>3135.8</v>
      </c>
      <c r="J367" s="48">
        <f>785.5-497</f>
        <v>288.5</v>
      </c>
      <c r="K367" s="48"/>
      <c r="L367" s="48">
        <f>I367+J367+K367</f>
        <v>3424.3</v>
      </c>
      <c r="M367" s="55">
        <f>559.5-25.4</f>
        <v>534.1</v>
      </c>
      <c r="N367" s="48"/>
      <c r="O367" s="48">
        <f>L367+M367+N367</f>
        <v>3958.4</v>
      </c>
      <c r="P367" s="75">
        <f>-100+163.2</f>
        <v>63.19999999999999</v>
      </c>
      <c r="Q367" s="75"/>
      <c r="R367" s="75">
        <f>O367+P367+Q367</f>
        <v>4021.6</v>
      </c>
    </row>
    <row r="368" spans="1:18" ht="12.75">
      <c r="A368" s="12" t="s">
        <v>349</v>
      </c>
      <c r="B368" s="12"/>
      <c r="C368" s="48"/>
      <c r="D368" s="48"/>
      <c r="E368" s="48"/>
      <c r="F368" s="48">
        <f t="shared" si="111"/>
        <v>0</v>
      </c>
      <c r="G368" s="48">
        <v>3500</v>
      </c>
      <c r="H368" s="48"/>
      <c r="I368" s="48">
        <f>F368+G368+H368</f>
        <v>3500</v>
      </c>
      <c r="J368" s="48"/>
      <c r="K368" s="48"/>
      <c r="L368" s="48">
        <f aca="true" t="shared" si="112" ref="L368:L388">I368+J368+K368</f>
        <v>3500</v>
      </c>
      <c r="M368" s="55"/>
      <c r="N368" s="48"/>
      <c r="O368" s="48">
        <f aca="true" t="shared" si="113" ref="O368:O388">L368+M368+N368</f>
        <v>3500</v>
      </c>
      <c r="P368" s="75"/>
      <c r="Q368" s="75"/>
      <c r="R368" s="75">
        <f aca="true" t="shared" si="114" ref="R368:R388">O368+P368+Q368</f>
        <v>3500</v>
      </c>
    </row>
    <row r="369" spans="1:18" ht="12.75">
      <c r="A369" s="12" t="s">
        <v>110</v>
      </c>
      <c r="B369" s="12"/>
      <c r="C369" s="48"/>
      <c r="D369" s="48">
        <v>1067</v>
      </c>
      <c r="E369" s="48"/>
      <c r="F369" s="48">
        <f t="shared" si="111"/>
        <v>1067</v>
      </c>
      <c r="G369" s="48"/>
      <c r="H369" s="48"/>
      <c r="I369" s="48">
        <f aca="true" t="shared" si="115" ref="I369:I388">F369+G369+H369</f>
        <v>1067</v>
      </c>
      <c r="J369" s="48"/>
      <c r="K369" s="48"/>
      <c r="L369" s="48">
        <f t="shared" si="112"/>
        <v>1067</v>
      </c>
      <c r="M369" s="55"/>
      <c r="N369" s="48"/>
      <c r="O369" s="48">
        <f t="shared" si="113"/>
        <v>1067</v>
      </c>
      <c r="P369" s="75"/>
      <c r="Q369" s="75"/>
      <c r="R369" s="75">
        <f t="shared" si="114"/>
        <v>1067</v>
      </c>
    </row>
    <row r="370" spans="1:18" ht="12.75">
      <c r="A370" s="8" t="s">
        <v>188</v>
      </c>
      <c r="B370" s="8"/>
      <c r="C370" s="48"/>
      <c r="D370" s="48">
        <v>5523</v>
      </c>
      <c r="E370" s="48"/>
      <c r="F370" s="48">
        <f t="shared" si="111"/>
        <v>5523</v>
      </c>
      <c r="G370" s="48"/>
      <c r="H370" s="48"/>
      <c r="I370" s="48">
        <f t="shared" si="115"/>
        <v>5523</v>
      </c>
      <c r="J370" s="48"/>
      <c r="K370" s="48"/>
      <c r="L370" s="48">
        <f t="shared" si="112"/>
        <v>5523</v>
      </c>
      <c r="M370" s="55"/>
      <c r="N370" s="48"/>
      <c r="O370" s="48">
        <f t="shared" si="113"/>
        <v>5523</v>
      </c>
      <c r="P370" s="75"/>
      <c r="Q370" s="75"/>
      <c r="R370" s="75">
        <f t="shared" si="114"/>
        <v>5523</v>
      </c>
    </row>
    <row r="371" spans="1:18" ht="12.75">
      <c r="A371" s="12" t="s">
        <v>261</v>
      </c>
      <c r="B371" s="12"/>
      <c r="C371" s="48"/>
      <c r="D371" s="48">
        <v>2000</v>
      </c>
      <c r="E371" s="48"/>
      <c r="F371" s="48">
        <f t="shared" si="111"/>
        <v>2000</v>
      </c>
      <c r="G371" s="48">
        <f>2000-1700</f>
        <v>300</v>
      </c>
      <c r="H371" s="48"/>
      <c r="I371" s="48">
        <f t="shared" si="115"/>
        <v>2300</v>
      </c>
      <c r="J371" s="48">
        <f>797.3+497+844.8</f>
        <v>2139.1</v>
      </c>
      <c r="K371" s="48"/>
      <c r="L371" s="48">
        <f t="shared" si="112"/>
        <v>4439.1</v>
      </c>
      <c r="M371" s="55"/>
      <c r="N371" s="48"/>
      <c r="O371" s="48">
        <f t="shared" si="113"/>
        <v>4439.1</v>
      </c>
      <c r="P371" s="75"/>
      <c r="Q371" s="75"/>
      <c r="R371" s="75">
        <f t="shared" si="114"/>
        <v>4439.1</v>
      </c>
    </row>
    <row r="372" spans="1:18" ht="12.75">
      <c r="A372" s="12" t="s">
        <v>273</v>
      </c>
      <c r="B372" s="12"/>
      <c r="C372" s="48"/>
      <c r="D372" s="48"/>
      <c r="E372" s="48">
        <v>2000</v>
      </c>
      <c r="F372" s="48">
        <f t="shared" si="111"/>
        <v>2000</v>
      </c>
      <c r="G372" s="48"/>
      <c r="H372" s="48"/>
      <c r="I372" s="48">
        <f t="shared" si="115"/>
        <v>2000</v>
      </c>
      <c r="J372" s="48"/>
      <c r="K372" s="48"/>
      <c r="L372" s="48">
        <f t="shared" si="112"/>
        <v>2000</v>
      </c>
      <c r="M372" s="55"/>
      <c r="N372" s="48"/>
      <c r="O372" s="48">
        <f t="shared" si="113"/>
        <v>2000</v>
      </c>
      <c r="P372" s="75"/>
      <c r="Q372" s="75"/>
      <c r="R372" s="75">
        <f t="shared" si="114"/>
        <v>2000</v>
      </c>
    </row>
    <row r="373" spans="1:18" ht="12.75">
      <c r="A373" s="8" t="s">
        <v>292</v>
      </c>
      <c r="B373" s="8">
        <v>33037</v>
      </c>
      <c r="C373" s="48"/>
      <c r="D373" s="48"/>
      <c r="E373" s="48"/>
      <c r="F373" s="48">
        <f t="shared" si="111"/>
        <v>0</v>
      </c>
      <c r="G373" s="48">
        <v>1630</v>
      </c>
      <c r="H373" s="48"/>
      <c r="I373" s="48">
        <f t="shared" si="115"/>
        <v>1630</v>
      </c>
      <c r="J373" s="48">
        <f>161</f>
        <v>161</v>
      </c>
      <c r="K373" s="48"/>
      <c r="L373" s="48">
        <f t="shared" si="112"/>
        <v>1791</v>
      </c>
      <c r="M373" s="55"/>
      <c r="N373" s="48"/>
      <c r="O373" s="48">
        <f t="shared" si="113"/>
        <v>1791</v>
      </c>
      <c r="P373" s="75"/>
      <c r="Q373" s="75"/>
      <c r="R373" s="75">
        <f t="shared" si="114"/>
        <v>1791</v>
      </c>
    </row>
    <row r="374" spans="1:18" ht="12.75">
      <c r="A374" s="12" t="s">
        <v>367</v>
      </c>
      <c r="B374" s="70"/>
      <c r="C374" s="48"/>
      <c r="D374" s="48"/>
      <c r="E374" s="48"/>
      <c r="F374" s="48"/>
      <c r="G374" s="48"/>
      <c r="H374" s="48"/>
      <c r="I374" s="48"/>
      <c r="J374" s="48">
        <v>746.6</v>
      </c>
      <c r="K374" s="48"/>
      <c r="L374" s="48">
        <f t="shared" si="112"/>
        <v>746.6</v>
      </c>
      <c r="M374" s="55"/>
      <c r="N374" s="48"/>
      <c r="O374" s="48">
        <f t="shared" si="113"/>
        <v>746.6</v>
      </c>
      <c r="P374" s="75"/>
      <c r="Q374" s="75"/>
      <c r="R374" s="75">
        <f t="shared" si="114"/>
        <v>746.6</v>
      </c>
    </row>
    <row r="375" spans="1:18" ht="12.75">
      <c r="A375" s="12" t="s">
        <v>362</v>
      </c>
      <c r="B375" s="70">
        <v>2500</v>
      </c>
      <c r="C375" s="48"/>
      <c r="D375" s="48"/>
      <c r="E375" s="48"/>
      <c r="F375" s="48"/>
      <c r="G375" s="48"/>
      <c r="H375" s="48"/>
      <c r="I375" s="48"/>
      <c r="J375" s="48"/>
      <c r="K375" s="48"/>
      <c r="L375" s="48">
        <f t="shared" si="112"/>
        <v>0</v>
      </c>
      <c r="M375" s="55">
        <f>305.9+6.1</f>
        <v>312</v>
      </c>
      <c r="N375" s="48"/>
      <c r="O375" s="48">
        <f t="shared" si="113"/>
        <v>312</v>
      </c>
      <c r="P375" s="75"/>
      <c r="Q375" s="75"/>
      <c r="R375" s="75">
        <f t="shared" si="114"/>
        <v>312</v>
      </c>
    </row>
    <row r="376" spans="1:18" ht="12.75">
      <c r="A376" s="12" t="s">
        <v>360</v>
      </c>
      <c r="B376" s="70" t="s">
        <v>369</v>
      </c>
      <c r="C376" s="48"/>
      <c r="D376" s="48"/>
      <c r="E376" s="48"/>
      <c r="F376" s="48"/>
      <c r="G376" s="48"/>
      <c r="H376" s="48"/>
      <c r="I376" s="48"/>
      <c r="J376" s="48"/>
      <c r="K376" s="48"/>
      <c r="L376" s="48">
        <f t="shared" si="112"/>
        <v>0</v>
      </c>
      <c r="M376" s="55">
        <v>291.3</v>
      </c>
      <c r="N376" s="48"/>
      <c r="O376" s="48">
        <f t="shared" si="113"/>
        <v>291.3</v>
      </c>
      <c r="P376" s="75"/>
      <c r="Q376" s="75"/>
      <c r="R376" s="75">
        <f t="shared" si="114"/>
        <v>291.3</v>
      </c>
    </row>
    <row r="377" spans="1:18" ht="12.75">
      <c r="A377" s="12" t="s">
        <v>265</v>
      </c>
      <c r="B377" s="70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55"/>
      <c r="N377" s="48"/>
      <c r="O377" s="48">
        <f t="shared" si="113"/>
        <v>0</v>
      </c>
      <c r="P377" s="75">
        <v>1600</v>
      </c>
      <c r="Q377" s="75"/>
      <c r="R377" s="75">
        <f t="shared" si="114"/>
        <v>1600</v>
      </c>
    </row>
    <row r="378" spans="1:18" ht="12.75">
      <c r="A378" s="8" t="s">
        <v>203</v>
      </c>
      <c r="B378" s="8"/>
      <c r="C378" s="48"/>
      <c r="D378" s="48"/>
      <c r="E378" s="48"/>
      <c r="F378" s="48">
        <f t="shared" si="111"/>
        <v>0</v>
      </c>
      <c r="G378" s="48">
        <v>1275.7</v>
      </c>
      <c r="H378" s="48"/>
      <c r="I378" s="48">
        <f t="shared" si="115"/>
        <v>1275.7</v>
      </c>
      <c r="J378" s="48">
        <f>-273.2</f>
        <v>-273.2</v>
      </c>
      <c r="K378" s="48"/>
      <c r="L378" s="48">
        <f t="shared" si="112"/>
        <v>1002.5</v>
      </c>
      <c r="M378" s="55"/>
      <c r="N378" s="48"/>
      <c r="O378" s="48">
        <f t="shared" si="113"/>
        <v>1002.5</v>
      </c>
      <c r="P378" s="75"/>
      <c r="Q378" s="75"/>
      <c r="R378" s="75">
        <f t="shared" si="114"/>
        <v>1002.5</v>
      </c>
    </row>
    <row r="379" spans="1:18" ht="12.75">
      <c r="A379" s="8" t="s">
        <v>335</v>
      </c>
      <c r="B379" s="8"/>
      <c r="C379" s="48"/>
      <c r="D379" s="48"/>
      <c r="E379" s="48"/>
      <c r="F379" s="48"/>
      <c r="G379" s="48"/>
      <c r="H379" s="48"/>
      <c r="I379" s="48">
        <f t="shared" si="115"/>
        <v>0</v>
      </c>
      <c r="J379" s="48">
        <v>2127.8</v>
      </c>
      <c r="K379" s="48"/>
      <c r="L379" s="48">
        <f t="shared" si="112"/>
        <v>2127.8</v>
      </c>
      <c r="M379" s="55"/>
      <c r="N379" s="48"/>
      <c r="O379" s="48">
        <f t="shared" si="113"/>
        <v>2127.8</v>
      </c>
      <c r="P379" s="75"/>
      <c r="Q379" s="75"/>
      <c r="R379" s="75">
        <f t="shared" si="114"/>
        <v>2127.8</v>
      </c>
    </row>
    <row r="380" spans="1:18" ht="12.75">
      <c r="A380" s="8" t="s">
        <v>104</v>
      </c>
      <c r="B380" s="8"/>
      <c r="C380" s="55">
        <f>SUM(C381:C388)</f>
        <v>32100</v>
      </c>
      <c r="D380" s="48"/>
      <c r="E380" s="48">
        <f>E381+E383+E387</f>
        <v>2940.8</v>
      </c>
      <c r="F380" s="48">
        <f t="shared" si="111"/>
        <v>35040.8</v>
      </c>
      <c r="G380" s="48">
        <f>G381+G383+G384+G387</f>
        <v>-778</v>
      </c>
      <c r="H380" s="48">
        <f>H381+H383+H384+H387</f>
        <v>2500</v>
      </c>
      <c r="I380" s="48">
        <f t="shared" si="115"/>
        <v>36762.8</v>
      </c>
      <c r="J380" s="48">
        <f>SUM(J381:J387)</f>
        <v>814.1999999999999</v>
      </c>
      <c r="K380" s="48">
        <f>SUM(K381:K387)</f>
        <v>0</v>
      </c>
      <c r="L380" s="55">
        <f>SUM(L381:L388)</f>
        <v>37577</v>
      </c>
      <c r="M380" s="55">
        <f>SUM(M381:M388)</f>
        <v>-3187.4</v>
      </c>
      <c r="N380" s="48"/>
      <c r="O380" s="55">
        <f>SUM(O381:O388)</f>
        <v>34389.6</v>
      </c>
      <c r="P380" s="55">
        <f>SUM(P381:P388)</f>
        <v>-156.2</v>
      </c>
      <c r="Q380" s="55">
        <f>SUM(Q381:Q388)</f>
        <v>0</v>
      </c>
      <c r="R380" s="55">
        <f>SUM(R381:R388)</f>
        <v>34233.4</v>
      </c>
    </row>
    <row r="381" spans="1:18" ht="12.75">
      <c r="A381" s="8" t="s">
        <v>373</v>
      </c>
      <c r="B381" s="8"/>
      <c r="C381" s="55">
        <v>31500</v>
      </c>
      <c r="D381" s="48"/>
      <c r="E381" s="48">
        <v>2773.8</v>
      </c>
      <c r="F381" s="48">
        <f t="shared" si="111"/>
        <v>34273.8</v>
      </c>
      <c r="G381" s="48">
        <v>-1500</v>
      </c>
      <c r="H381" s="48">
        <v>2500</v>
      </c>
      <c r="I381" s="48">
        <f t="shared" si="115"/>
        <v>35273.8</v>
      </c>
      <c r="J381" s="48">
        <f>356</f>
        <v>356</v>
      </c>
      <c r="K381" s="48"/>
      <c r="L381" s="48">
        <f t="shared" si="112"/>
        <v>35629.8</v>
      </c>
      <c r="M381" s="55">
        <f>-484-1905.1-1500</f>
        <v>-3889.1</v>
      </c>
      <c r="N381" s="48"/>
      <c r="O381" s="48">
        <f t="shared" si="113"/>
        <v>31740.700000000004</v>
      </c>
      <c r="P381" s="75">
        <v>-185.1</v>
      </c>
      <c r="Q381" s="75"/>
      <c r="R381" s="75">
        <f t="shared" si="114"/>
        <v>31555.600000000006</v>
      </c>
    </row>
    <row r="382" spans="1:18" ht="12.75">
      <c r="A382" s="8" t="s">
        <v>336</v>
      </c>
      <c r="B382" s="8"/>
      <c r="C382" s="55"/>
      <c r="D382" s="48"/>
      <c r="E382" s="48"/>
      <c r="F382" s="48"/>
      <c r="G382" s="48"/>
      <c r="H382" s="48"/>
      <c r="I382" s="48">
        <f t="shared" si="115"/>
        <v>0</v>
      </c>
      <c r="J382" s="48">
        <v>14.9</v>
      </c>
      <c r="K382" s="48"/>
      <c r="L382" s="48">
        <f t="shared" si="112"/>
        <v>14.9</v>
      </c>
      <c r="M382" s="55">
        <v>134.6</v>
      </c>
      <c r="N382" s="48"/>
      <c r="O382" s="48">
        <f t="shared" si="113"/>
        <v>149.5</v>
      </c>
      <c r="P382" s="75">
        <v>15</v>
      </c>
      <c r="Q382" s="75"/>
      <c r="R382" s="75">
        <f t="shared" si="114"/>
        <v>164.5</v>
      </c>
    </row>
    <row r="383" spans="1:18" ht="12.75">
      <c r="A383" s="8" t="s">
        <v>337</v>
      </c>
      <c r="B383" s="8"/>
      <c r="C383" s="55"/>
      <c r="D383" s="48"/>
      <c r="E383" s="48">
        <v>77.9</v>
      </c>
      <c r="F383" s="48">
        <f t="shared" si="111"/>
        <v>77.9</v>
      </c>
      <c r="G383" s="48">
        <f>181+281+172.1</f>
        <v>634.1</v>
      </c>
      <c r="H383" s="48"/>
      <c r="I383" s="48">
        <f t="shared" si="115"/>
        <v>712</v>
      </c>
      <c r="J383" s="48">
        <f>223.9+0.6</f>
        <v>224.5</v>
      </c>
      <c r="K383" s="48"/>
      <c r="L383" s="48">
        <f t="shared" si="112"/>
        <v>936.5</v>
      </c>
      <c r="M383" s="55">
        <f>242+13.9+69.2</f>
        <v>325.1</v>
      </c>
      <c r="N383" s="48"/>
      <c r="O383" s="48">
        <f t="shared" si="113"/>
        <v>1261.6</v>
      </c>
      <c r="P383" s="75">
        <v>13.9</v>
      </c>
      <c r="Q383" s="75"/>
      <c r="R383" s="75">
        <f t="shared" si="114"/>
        <v>1275.5</v>
      </c>
    </row>
    <row r="384" spans="1:18" ht="12.75">
      <c r="A384" s="8" t="s">
        <v>338</v>
      </c>
      <c r="B384" s="8"/>
      <c r="C384" s="55"/>
      <c r="D384" s="48"/>
      <c r="E384" s="48"/>
      <c r="F384" s="48">
        <f t="shared" si="111"/>
        <v>0</v>
      </c>
      <c r="G384" s="48">
        <f>87.9</f>
        <v>87.9</v>
      </c>
      <c r="H384" s="48"/>
      <c r="I384" s="48">
        <f t="shared" si="115"/>
        <v>87.9</v>
      </c>
      <c r="J384" s="48">
        <f>-81.2</f>
        <v>-81.2</v>
      </c>
      <c r="K384" s="48"/>
      <c r="L384" s="48">
        <f t="shared" si="112"/>
        <v>6.700000000000003</v>
      </c>
      <c r="M384" s="55"/>
      <c r="N384" s="48"/>
      <c r="O384" s="48">
        <f t="shared" si="113"/>
        <v>6.700000000000003</v>
      </c>
      <c r="P384" s="75"/>
      <c r="Q384" s="75"/>
      <c r="R384" s="75">
        <f t="shared" si="114"/>
        <v>6.700000000000003</v>
      </c>
    </row>
    <row r="385" spans="1:18" ht="12.75">
      <c r="A385" s="8" t="s">
        <v>339</v>
      </c>
      <c r="B385" s="8"/>
      <c r="C385" s="55"/>
      <c r="D385" s="48"/>
      <c r="E385" s="48"/>
      <c r="F385" s="48"/>
      <c r="G385" s="48"/>
      <c r="H385" s="48"/>
      <c r="I385" s="48">
        <f t="shared" si="115"/>
        <v>0</v>
      </c>
      <c r="J385" s="48">
        <v>300</v>
      </c>
      <c r="K385" s="48"/>
      <c r="L385" s="48">
        <f t="shared" si="112"/>
        <v>300</v>
      </c>
      <c r="M385" s="55"/>
      <c r="N385" s="48"/>
      <c r="O385" s="48">
        <f t="shared" si="113"/>
        <v>300</v>
      </c>
      <c r="P385" s="75"/>
      <c r="Q385" s="75"/>
      <c r="R385" s="75">
        <f t="shared" si="114"/>
        <v>300</v>
      </c>
    </row>
    <row r="386" spans="1:18" ht="12.75">
      <c r="A386" s="8" t="s">
        <v>354</v>
      </c>
      <c r="B386" s="8"/>
      <c r="C386" s="55"/>
      <c r="D386" s="48"/>
      <c r="E386" s="48"/>
      <c r="F386" s="48"/>
      <c r="G386" s="48"/>
      <c r="H386" s="48"/>
      <c r="I386" s="48">
        <f t="shared" si="115"/>
        <v>0</v>
      </c>
      <c r="J386" s="48"/>
      <c r="K386" s="48"/>
      <c r="L386" s="48">
        <f t="shared" si="112"/>
        <v>0</v>
      </c>
      <c r="M386" s="55">
        <f>181.5</f>
        <v>181.5</v>
      </c>
      <c r="N386" s="48"/>
      <c r="O386" s="48">
        <f t="shared" si="113"/>
        <v>181.5</v>
      </c>
      <c r="P386" s="75"/>
      <c r="Q386" s="75"/>
      <c r="R386" s="75">
        <f t="shared" si="114"/>
        <v>181.5</v>
      </c>
    </row>
    <row r="387" spans="1:18" ht="12.75">
      <c r="A387" s="8" t="s">
        <v>340</v>
      </c>
      <c r="B387" s="8"/>
      <c r="C387" s="55"/>
      <c r="D387" s="48"/>
      <c r="E387" s="48">
        <v>89.1</v>
      </c>
      <c r="F387" s="48">
        <f t="shared" si="111"/>
        <v>89.1</v>
      </c>
      <c r="G387" s="48"/>
      <c r="H387" s="48"/>
      <c r="I387" s="48">
        <f t="shared" si="115"/>
        <v>89.1</v>
      </c>
      <c r="J387" s="48"/>
      <c r="K387" s="48"/>
      <c r="L387" s="48">
        <f t="shared" si="112"/>
        <v>89.1</v>
      </c>
      <c r="M387" s="55">
        <v>60.5</v>
      </c>
      <c r="N387" s="48"/>
      <c r="O387" s="48">
        <f t="shared" si="113"/>
        <v>149.6</v>
      </c>
      <c r="P387" s="75"/>
      <c r="Q387" s="75"/>
      <c r="R387" s="75">
        <f t="shared" si="114"/>
        <v>149.6</v>
      </c>
    </row>
    <row r="388" spans="1:18" ht="12.75">
      <c r="A388" s="8" t="s">
        <v>372</v>
      </c>
      <c r="B388" s="8"/>
      <c r="C388" s="55">
        <v>600</v>
      </c>
      <c r="D388" s="48"/>
      <c r="E388" s="48"/>
      <c r="F388" s="48">
        <f t="shared" si="111"/>
        <v>600</v>
      </c>
      <c r="G388" s="48"/>
      <c r="H388" s="48"/>
      <c r="I388" s="48">
        <f t="shared" si="115"/>
        <v>600</v>
      </c>
      <c r="J388" s="48"/>
      <c r="K388" s="48"/>
      <c r="L388" s="48">
        <f t="shared" si="112"/>
        <v>600</v>
      </c>
      <c r="M388" s="55"/>
      <c r="N388" s="48"/>
      <c r="O388" s="48">
        <f t="shared" si="113"/>
        <v>600</v>
      </c>
      <c r="P388" s="75"/>
      <c r="Q388" s="75"/>
      <c r="R388" s="75">
        <f t="shared" si="114"/>
        <v>600</v>
      </c>
    </row>
    <row r="389" spans="1:18" ht="12.75">
      <c r="A389" s="14" t="s">
        <v>75</v>
      </c>
      <c r="B389" s="14"/>
      <c r="C389" s="51">
        <f aca="true" t="shared" si="116" ref="C389:R389">SUM(C391:C404)</f>
        <v>117320.3</v>
      </c>
      <c r="D389" s="51">
        <f t="shared" si="116"/>
        <v>345000</v>
      </c>
      <c r="E389" s="51">
        <f t="shared" si="116"/>
        <v>317938.9</v>
      </c>
      <c r="F389" s="51">
        <f t="shared" si="116"/>
        <v>780259.2</v>
      </c>
      <c r="G389" s="51">
        <f t="shared" si="116"/>
        <v>134548.19999999998</v>
      </c>
      <c r="H389" s="51">
        <f t="shared" si="116"/>
        <v>-2500</v>
      </c>
      <c r="I389" s="51">
        <f t="shared" si="116"/>
        <v>912307.3999999999</v>
      </c>
      <c r="J389" s="51">
        <f t="shared" si="116"/>
        <v>40433.6</v>
      </c>
      <c r="K389" s="51">
        <f t="shared" si="116"/>
        <v>1144.3</v>
      </c>
      <c r="L389" s="51">
        <f t="shared" si="116"/>
        <v>953885.2999999999</v>
      </c>
      <c r="M389" s="51">
        <f t="shared" si="116"/>
        <v>73908.9</v>
      </c>
      <c r="N389" s="51">
        <f t="shared" si="116"/>
        <v>0</v>
      </c>
      <c r="O389" s="51">
        <f t="shared" si="116"/>
        <v>1027794.2</v>
      </c>
      <c r="P389" s="51">
        <f t="shared" si="116"/>
        <v>39207.50000000001</v>
      </c>
      <c r="Q389" s="51">
        <f t="shared" si="116"/>
        <v>0</v>
      </c>
      <c r="R389" s="51">
        <f t="shared" si="116"/>
        <v>1067001.7</v>
      </c>
    </row>
    <row r="390" spans="1:18" ht="12.75">
      <c r="A390" s="10" t="s">
        <v>38</v>
      </c>
      <c r="B390" s="10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55"/>
      <c r="N390" s="48"/>
      <c r="O390" s="48"/>
      <c r="P390" s="75"/>
      <c r="Q390" s="75"/>
      <c r="R390" s="75"/>
    </row>
    <row r="391" spans="1:18" ht="12.75">
      <c r="A391" s="12" t="s">
        <v>264</v>
      </c>
      <c r="B391" s="12"/>
      <c r="C391" s="48"/>
      <c r="D391" s="48">
        <v>14000</v>
      </c>
      <c r="E391" s="48"/>
      <c r="F391" s="48">
        <f>C391+D391+E391</f>
        <v>14000</v>
      </c>
      <c r="G391" s="48"/>
      <c r="H391" s="48"/>
      <c r="I391" s="48">
        <f aca="true" t="shared" si="117" ref="I391:I411">F391+G391+H391</f>
        <v>14000</v>
      </c>
      <c r="J391" s="48"/>
      <c r="K391" s="48"/>
      <c r="L391" s="48">
        <f aca="true" t="shared" si="118" ref="L391:L411">I391+J391+K391</f>
        <v>14000</v>
      </c>
      <c r="M391" s="55"/>
      <c r="N391" s="48"/>
      <c r="O391" s="48">
        <f aca="true" t="shared" si="119" ref="O391:O411">L391+M391+N391</f>
        <v>14000</v>
      </c>
      <c r="P391" s="75"/>
      <c r="Q391" s="75"/>
      <c r="R391" s="75">
        <f aca="true" t="shared" si="120" ref="R391:R411">O391+P391+Q391</f>
        <v>14000</v>
      </c>
    </row>
    <row r="392" spans="1:18" ht="12.75" hidden="1">
      <c r="A392" s="12" t="s">
        <v>307</v>
      </c>
      <c r="B392" s="12"/>
      <c r="C392" s="48"/>
      <c r="D392" s="48"/>
      <c r="E392" s="48"/>
      <c r="F392" s="48">
        <f>C392+D392+E392</f>
        <v>0</v>
      </c>
      <c r="G392" s="48">
        <v>1000</v>
      </c>
      <c r="H392" s="48"/>
      <c r="I392" s="48">
        <f t="shared" si="117"/>
        <v>1000</v>
      </c>
      <c r="J392" s="48">
        <v>-1000</v>
      </c>
      <c r="K392" s="48"/>
      <c r="L392" s="48">
        <f t="shared" si="118"/>
        <v>0</v>
      </c>
      <c r="M392" s="55"/>
      <c r="N392" s="48"/>
      <c r="O392" s="48">
        <f t="shared" si="119"/>
        <v>0</v>
      </c>
      <c r="P392" s="75"/>
      <c r="Q392" s="75"/>
      <c r="R392" s="75">
        <f t="shared" si="120"/>
        <v>0</v>
      </c>
    </row>
    <row r="393" spans="1:18" ht="12.75">
      <c r="A393" s="12" t="s">
        <v>293</v>
      </c>
      <c r="B393" s="12"/>
      <c r="C393" s="48"/>
      <c r="D393" s="48"/>
      <c r="E393" s="48">
        <v>1839.4</v>
      </c>
      <c r="F393" s="48">
        <f aca="true" t="shared" si="121" ref="F393:F411">C393+D393+E393</f>
        <v>1839.4</v>
      </c>
      <c r="G393" s="48"/>
      <c r="H393" s="48"/>
      <c r="I393" s="48">
        <f t="shared" si="117"/>
        <v>1839.4</v>
      </c>
      <c r="J393" s="48"/>
      <c r="K393" s="48"/>
      <c r="L393" s="48">
        <f t="shared" si="118"/>
        <v>1839.4</v>
      </c>
      <c r="M393" s="55"/>
      <c r="N393" s="48"/>
      <c r="O393" s="48">
        <f t="shared" si="119"/>
        <v>1839.4</v>
      </c>
      <c r="P393" s="75"/>
      <c r="Q393" s="75"/>
      <c r="R393" s="75">
        <f t="shared" si="120"/>
        <v>1839.4</v>
      </c>
    </row>
    <row r="394" spans="1:18" ht="12.75">
      <c r="A394" s="12" t="s">
        <v>292</v>
      </c>
      <c r="B394" s="70">
        <v>33939</v>
      </c>
      <c r="C394" s="48"/>
      <c r="D394" s="48"/>
      <c r="E394" s="48"/>
      <c r="F394" s="48">
        <f t="shared" si="121"/>
        <v>0</v>
      </c>
      <c r="G394" s="48">
        <v>23144.8</v>
      </c>
      <c r="H394" s="48"/>
      <c r="I394" s="48">
        <f t="shared" si="117"/>
        <v>23144.8</v>
      </c>
      <c r="J394" s="48"/>
      <c r="K394" s="48"/>
      <c r="L394" s="48">
        <f>I394+J394+K394</f>
        <v>23144.8</v>
      </c>
      <c r="M394" s="55"/>
      <c r="N394" s="48"/>
      <c r="O394" s="48">
        <f t="shared" si="119"/>
        <v>23144.8</v>
      </c>
      <c r="P394" s="75"/>
      <c r="Q394" s="75"/>
      <c r="R394" s="75">
        <f t="shared" si="120"/>
        <v>23144.8</v>
      </c>
    </row>
    <row r="395" spans="1:18" ht="12.75">
      <c r="A395" s="12" t="s">
        <v>367</v>
      </c>
      <c r="B395" s="70"/>
      <c r="C395" s="48"/>
      <c r="D395" s="48"/>
      <c r="E395" s="48"/>
      <c r="F395" s="48"/>
      <c r="G395" s="48"/>
      <c r="H395" s="48"/>
      <c r="I395" s="48"/>
      <c r="J395" s="48">
        <f>16889.5</f>
        <v>16889.5</v>
      </c>
      <c r="K395" s="48"/>
      <c r="L395" s="48">
        <f>I395+J395+K395</f>
        <v>16889.5</v>
      </c>
      <c r="M395" s="55"/>
      <c r="N395" s="48"/>
      <c r="O395" s="48">
        <f t="shared" si="119"/>
        <v>16889.5</v>
      </c>
      <c r="P395" s="75"/>
      <c r="Q395" s="75"/>
      <c r="R395" s="75">
        <f t="shared" si="120"/>
        <v>16889.5</v>
      </c>
    </row>
    <row r="396" spans="1:18" ht="12.75">
      <c r="A396" s="12" t="s">
        <v>380</v>
      </c>
      <c r="B396" s="70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55"/>
      <c r="N396" s="48"/>
      <c r="O396" s="48">
        <f t="shared" si="119"/>
        <v>0</v>
      </c>
      <c r="P396" s="75">
        <v>2578.8</v>
      </c>
      <c r="Q396" s="75"/>
      <c r="R396" s="75">
        <f t="shared" si="120"/>
        <v>2578.8</v>
      </c>
    </row>
    <row r="397" spans="1:18" ht="12.75">
      <c r="A397" s="12" t="s">
        <v>389</v>
      </c>
      <c r="B397" s="70">
        <v>13899</v>
      </c>
      <c r="C397" s="48"/>
      <c r="D397" s="48"/>
      <c r="E397" s="48"/>
      <c r="F397" s="48"/>
      <c r="G397" s="48"/>
      <c r="H397" s="48"/>
      <c r="I397" s="48"/>
      <c r="J397" s="48"/>
      <c r="K397" s="48"/>
      <c r="L397" s="48">
        <f>I397+J397+K397</f>
        <v>0</v>
      </c>
      <c r="M397" s="55">
        <v>4076.6</v>
      </c>
      <c r="N397" s="48"/>
      <c r="O397" s="48">
        <f t="shared" si="119"/>
        <v>4076.6</v>
      </c>
      <c r="P397" s="75">
        <v>133.5</v>
      </c>
      <c r="Q397" s="75"/>
      <c r="R397" s="75">
        <f t="shared" si="120"/>
        <v>4210.1</v>
      </c>
    </row>
    <row r="398" spans="1:18" ht="12.75">
      <c r="A398" s="11" t="s">
        <v>203</v>
      </c>
      <c r="B398" s="11"/>
      <c r="C398" s="52"/>
      <c r="D398" s="52"/>
      <c r="E398" s="52"/>
      <c r="F398" s="52">
        <f t="shared" si="121"/>
        <v>0</v>
      </c>
      <c r="G398" s="52">
        <v>1854.7</v>
      </c>
      <c r="H398" s="52"/>
      <c r="I398" s="52">
        <f t="shared" si="117"/>
        <v>1854.7</v>
      </c>
      <c r="J398" s="52">
        <f>-1854.6</f>
        <v>-1854.6</v>
      </c>
      <c r="K398" s="52"/>
      <c r="L398" s="52">
        <f t="shared" si="118"/>
        <v>0.10000000000013642</v>
      </c>
      <c r="M398" s="56"/>
      <c r="N398" s="52"/>
      <c r="O398" s="52">
        <f t="shared" si="119"/>
        <v>0.10000000000013642</v>
      </c>
      <c r="P398" s="85"/>
      <c r="Q398" s="85"/>
      <c r="R398" s="85">
        <f t="shared" si="120"/>
        <v>0.10000000000013642</v>
      </c>
    </row>
    <row r="399" spans="1:18" ht="12.75">
      <c r="A399" s="12" t="s">
        <v>260</v>
      </c>
      <c r="B399" s="12"/>
      <c r="C399" s="48"/>
      <c r="D399" s="48">
        <v>300000</v>
      </c>
      <c r="E399" s="48"/>
      <c r="F399" s="48">
        <f t="shared" si="121"/>
        <v>300000</v>
      </c>
      <c r="G399" s="48"/>
      <c r="H399" s="48"/>
      <c r="I399" s="48">
        <f t="shared" si="117"/>
        <v>300000</v>
      </c>
      <c r="J399" s="48"/>
      <c r="K399" s="48"/>
      <c r="L399" s="48">
        <f t="shared" si="118"/>
        <v>300000</v>
      </c>
      <c r="M399" s="55"/>
      <c r="N399" s="48"/>
      <c r="O399" s="48">
        <f t="shared" si="119"/>
        <v>300000</v>
      </c>
      <c r="P399" s="75"/>
      <c r="Q399" s="75"/>
      <c r="R399" s="75">
        <f t="shared" si="120"/>
        <v>300000</v>
      </c>
    </row>
    <row r="400" spans="1:18" ht="12.75">
      <c r="A400" s="12" t="s">
        <v>265</v>
      </c>
      <c r="B400" s="72" t="s">
        <v>368</v>
      </c>
      <c r="C400" s="48"/>
      <c r="D400" s="48">
        <v>29000</v>
      </c>
      <c r="E400" s="48">
        <v>-2000</v>
      </c>
      <c r="F400" s="48">
        <f t="shared" si="121"/>
        <v>27000</v>
      </c>
      <c r="G400" s="48">
        <f>10000+2000</f>
        <v>12000</v>
      </c>
      <c r="H400" s="48"/>
      <c r="I400" s="48">
        <f t="shared" si="117"/>
        <v>39000</v>
      </c>
      <c r="J400" s="48"/>
      <c r="K400" s="48"/>
      <c r="L400" s="48">
        <f t="shared" si="118"/>
        <v>39000</v>
      </c>
      <c r="M400" s="55">
        <v>5000</v>
      </c>
      <c r="N400" s="48"/>
      <c r="O400" s="48">
        <f t="shared" si="119"/>
        <v>44000</v>
      </c>
      <c r="P400" s="75">
        <v>-1600</v>
      </c>
      <c r="Q400" s="75"/>
      <c r="R400" s="75">
        <f t="shared" si="120"/>
        <v>42400</v>
      </c>
    </row>
    <row r="401" spans="1:18" ht="12.75">
      <c r="A401" s="12" t="s">
        <v>378</v>
      </c>
      <c r="B401" s="72"/>
      <c r="C401" s="48"/>
      <c r="D401" s="48"/>
      <c r="E401" s="48"/>
      <c r="F401" s="48"/>
      <c r="G401" s="48"/>
      <c r="H401" s="48"/>
      <c r="I401" s="48"/>
      <c r="J401" s="48"/>
      <c r="K401" s="48"/>
      <c r="L401" s="48">
        <f t="shared" si="118"/>
        <v>0</v>
      </c>
      <c r="M401" s="55">
        <v>30000</v>
      </c>
      <c r="N401" s="48"/>
      <c r="O401" s="48">
        <f t="shared" si="119"/>
        <v>30000</v>
      </c>
      <c r="P401" s="75"/>
      <c r="Q401" s="75"/>
      <c r="R401" s="75">
        <f t="shared" si="120"/>
        <v>30000</v>
      </c>
    </row>
    <row r="402" spans="1:18" ht="12.75">
      <c r="A402" s="12" t="s">
        <v>301</v>
      </c>
      <c r="B402" s="70" t="s">
        <v>342</v>
      </c>
      <c r="C402" s="48"/>
      <c r="D402" s="48"/>
      <c r="E402" s="48"/>
      <c r="F402" s="48">
        <f t="shared" si="121"/>
        <v>0</v>
      </c>
      <c r="G402" s="48">
        <v>9394.8</v>
      </c>
      <c r="H402" s="48"/>
      <c r="I402" s="48">
        <f t="shared" si="117"/>
        <v>9394.8</v>
      </c>
      <c r="J402" s="48"/>
      <c r="K402" s="48"/>
      <c r="L402" s="48">
        <f t="shared" si="118"/>
        <v>9394.8</v>
      </c>
      <c r="M402" s="55"/>
      <c r="N402" s="48"/>
      <c r="O402" s="48">
        <f t="shared" si="119"/>
        <v>9394.8</v>
      </c>
      <c r="P402" s="75"/>
      <c r="Q402" s="75"/>
      <c r="R402" s="75">
        <f t="shared" si="120"/>
        <v>9394.8</v>
      </c>
    </row>
    <row r="403" spans="1:18" ht="12.75">
      <c r="A403" s="12" t="s">
        <v>334</v>
      </c>
      <c r="B403" s="12"/>
      <c r="C403" s="48"/>
      <c r="D403" s="48">
        <v>2000</v>
      </c>
      <c r="E403" s="48"/>
      <c r="F403" s="48">
        <f t="shared" si="121"/>
        <v>2000</v>
      </c>
      <c r="G403" s="48">
        <v>-2000</v>
      </c>
      <c r="H403" s="48"/>
      <c r="I403" s="48">
        <f t="shared" si="117"/>
        <v>0</v>
      </c>
      <c r="J403" s="48">
        <v>150</v>
      </c>
      <c r="K403" s="48"/>
      <c r="L403" s="48">
        <f t="shared" si="118"/>
        <v>150</v>
      </c>
      <c r="M403" s="55"/>
      <c r="N403" s="48"/>
      <c r="O403" s="48">
        <f t="shared" si="119"/>
        <v>150</v>
      </c>
      <c r="P403" s="75"/>
      <c r="Q403" s="75"/>
      <c r="R403" s="75">
        <f t="shared" si="120"/>
        <v>150</v>
      </c>
    </row>
    <row r="404" spans="1:18" ht="12.75">
      <c r="A404" s="12" t="s">
        <v>266</v>
      </c>
      <c r="B404" s="12"/>
      <c r="C404" s="48">
        <f aca="true" t="shared" si="122" ref="C404:R404">SUM(C405:C411)</f>
        <v>117320.3</v>
      </c>
      <c r="D404" s="48">
        <f t="shared" si="122"/>
        <v>0</v>
      </c>
      <c r="E404" s="48">
        <f t="shared" si="122"/>
        <v>318099.5</v>
      </c>
      <c r="F404" s="48">
        <f t="shared" si="122"/>
        <v>435419.8</v>
      </c>
      <c r="G404" s="48">
        <f t="shared" si="122"/>
        <v>89153.89999999998</v>
      </c>
      <c r="H404" s="48">
        <f t="shared" si="122"/>
        <v>-2500</v>
      </c>
      <c r="I404" s="48">
        <f t="shared" si="122"/>
        <v>522073.69999999995</v>
      </c>
      <c r="J404" s="48">
        <f t="shared" si="122"/>
        <v>26248.699999999997</v>
      </c>
      <c r="K404" s="48">
        <f t="shared" si="122"/>
        <v>1144.3</v>
      </c>
      <c r="L404" s="48">
        <f t="shared" si="122"/>
        <v>549466.7</v>
      </c>
      <c r="M404" s="48">
        <f t="shared" si="122"/>
        <v>34832.3</v>
      </c>
      <c r="N404" s="48">
        <f t="shared" si="122"/>
        <v>0</v>
      </c>
      <c r="O404" s="48">
        <f t="shared" si="122"/>
        <v>584298.9999999999</v>
      </c>
      <c r="P404" s="48">
        <f t="shared" si="122"/>
        <v>38095.200000000004</v>
      </c>
      <c r="Q404" s="48">
        <f t="shared" si="122"/>
        <v>0</v>
      </c>
      <c r="R404" s="48">
        <f t="shared" si="122"/>
        <v>622394.2</v>
      </c>
    </row>
    <row r="405" spans="1:18" ht="12.75">
      <c r="A405" s="12" t="s">
        <v>314</v>
      </c>
      <c r="B405" s="12"/>
      <c r="C405" s="48"/>
      <c r="D405" s="48"/>
      <c r="E405" s="48"/>
      <c r="F405" s="48">
        <f t="shared" si="121"/>
        <v>0</v>
      </c>
      <c r="G405" s="55">
        <f>6401.4+10790.5</f>
        <v>17191.9</v>
      </c>
      <c r="H405" s="48"/>
      <c r="I405" s="48">
        <f t="shared" si="117"/>
        <v>17191.9</v>
      </c>
      <c r="J405" s="48">
        <v>-14.9</v>
      </c>
      <c r="K405" s="48"/>
      <c r="L405" s="48">
        <f t="shared" si="118"/>
        <v>17177</v>
      </c>
      <c r="M405" s="55">
        <f>-1246.8-134.6</f>
        <v>-1381.3999999999999</v>
      </c>
      <c r="N405" s="48"/>
      <c r="O405" s="48">
        <f t="shared" si="119"/>
        <v>15795.6</v>
      </c>
      <c r="P405" s="75">
        <v>-15</v>
      </c>
      <c r="Q405" s="75"/>
      <c r="R405" s="75">
        <f t="shared" si="120"/>
        <v>15780.6</v>
      </c>
    </row>
    <row r="406" spans="1:18" ht="12.75">
      <c r="A406" s="12" t="s">
        <v>267</v>
      </c>
      <c r="B406" s="12"/>
      <c r="C406" s="48">
        <v>58450</v>
      </c>
      <c r="D406" s="48"/>
      <c r="E406" s="48"/>
      <c r="F406" s="48">
        <f t="shared" si="121"/>
        <v>58450</v>
      </c>
      <c r="G406" s="48">
        <f>40425.6+8766.9+12341.2+9174.5+18217.1</f>
        <v>88925.29999999999</v>
      </c>
      <c r="H406" s="48"/>
      <c r="I406" s="48">
        <f t="shared" si="117"/>
        <v>147375.3</v>
      </c>
      <c r="J406" s="48">
        <f>-16850.9</f>
        <v>-16850.9</v>
      </c>
      <c r="K406" s="48"/>
      <c r="L406" s="48">
        <f t="shared" si="118"/>
        <v>130524.4</v>
      </c>
      <c r="M406" s="55">
        <f>192.5+7083+716.4+6527.9</f>
        <v>14519.8</v>
      </c>
      <c r="N406" s="48"/>
      <c r="O406" s="48">
        <f t="shared" si="119"/>
        <v>145044.19999999998</v>
      </c>
      <c r="P406" s="75">
        <f>10682.2+771+17942.8+3097.4+885.9</f>
        <v>33379.3</v>
      </c>
      <c r="Q406" s="75"/>
      <c r="R406" s="75">
        <f t="shared" si="120"/>
        <v>178423.5</v>
      </c>
    </row>
    <row r="407" spans="1:18" ht="12.75">
      <c r="A407" s="12" t="s">
        <v>268</v>
      </c>
      <c r="B407" s="12"/>
      <c r="C407" s="48">
        <v>20190</v>
      </c>
      <c r="D407" s="48"/>
      <c r="E407" s="75">
        <f>22005.8+1045.1-77.9</f>
        <v>22972.999999999996</v>
      </c>
      <c r="F407" s="48">
        <f>C407+D407+E407</f>
        <v>43163</v>
      </c>
      <c r="G407" s="48">
        <f>1770.9+10551.2+3888.9+4644.2+144.7+170.2+2028.3</f>
        <v>23198.4</v>
      </c>
      <c r="H407" s="48"/>
      <c r="I407" s="48">
        <f t="shared" si="117"/>
        <v>66361.4</v>
      </c>
      <c r="J407" s="48">
        <f>251.8+1856+56.9+108.2+16.5+3817.1-0.6</f>
        <v>6105.9</v>
      </c>
      <c r="K407" s="48"/>
      <c r="L407" s="48">
        <f t="shared" si="118"/>
        <v>72467.29999999999</v>
      </c>
      <c r="M407" s="55">
        <f>10579.6+7.1+1084.7+12083.4+96.8+6678.5+2265.8+468.9</f>
        <v>33264.8</v>
      </c>
      <c r="N407" s="48">
        <f>1305</f>
        <v>1305</v>
      </c>
      <c r="O407" s="48">
        <f t="shared" si="119"/>
        <v>107037.09999999999</v>
      </c>
      <c r="P407" s="75">
        <f>128+10616+1431.8+2470.9+14359.1+3924.5+42.4+255.6+4669</f>
        <v>37897.3</v>
      </c>
      <c r="Q407" s="75"/>
      <c r="R407" s="75">
        <f t="shared" si="120"/>
        <v>144934.4</v>
      </c>
    </row>
    <row r="408" spans="1:18" ht="12.75">
      <c r="A408" s="12" t="s">
        <v>272</v>
      </c>
      <c r="B408" s="12"/>
      <c r="C408" s="48"/>
      <c r="D408" s="48"/>
      <c r="E408" s="48">
        <f>87.2+51000+95.3+1943.7</f>
        <v>53126.2</v>
      </c>
      <c r="F408" s="48">
        <f t="shared" si="121"/>
        <v>53126.2</v>
      </c>
      <c r="G408" s="48"/>
      <c r="H408" s="48">
        <v>-2500</v>
      </c>
      <c r="I408" s="48">
        <f t="shared" si="117"/>
        <v>50626.2</v>
      </c>
      <c r="J408" s="48">
        <f>1546.8</f>
        <v>1546.8</v>
      </c>
      <c r="K408" s="48"/>
      <c r="L408" s="48">
        <f t="shared" si="118"/>
        <v>52173</v>
      </c>
      <c r="M408" s="55">
        <f>415.5+1002.4</f>
        <v>1417.9</v>
      </c>
      <c r="N408" s="48"/>
      <c r="O408" s="48">
        <f t="shared" si="119"/>
        <v>53590.9</v>
      </c>
      <c r="P408" s="75"/>
      <c r="Q408" s="75"/>
      <c r="R408" s="75">
        <f t="shared" si="120"/>
        <v>53590.9</v>
      </c>
    </row>
    <row r="409" spans="1:18" ht="12.75">
      <c r="A409" s="12" t="s">
        <v>269</v>
      </c>
      <c r="B409" s="12"/>
      <c r="C409" s="48">
        <v>1834</v>
      </c>
      <c r="D409" s="48"/>
      <c r="E409" s="48"/>
      <c r="F409" s="48">
        <f t="shared" si="121"/>
        <v>1834</v>
      </c>
      <c r="G409" s="48"/>
      <c r="H409" s="48"/>
      <c r="I409" s="48">
        <f t="shared" si="117"/>
        <v>1834</v>
      </c>
      <c r="J409" s="48"/>
      <c r="K409" s="48"/>
      <c r="L409" s="48">
        <f t="shared" si="118"/>
        <v>1834</v>
      </c>
      <c r="M409" s="55">
        <f>404.9+25.4</f>
        <v>430.29999999999995</v>
      </c>
      <c r="N409" s="48"/>
      <c r="O409" s="48">
        <f t="shared" si="119"/>
        <v>2264.3</v>
      </c>
      <c r="P409" s="75">
        <v>40</v>
      </c>
      <c r="Q409" s="75"/>
      <c r="R409" s="75">
        <f t="shared" si="120"/>
        <v>2304.3</v>
      </c>
    </row>
    <row r="410" spans="1:18" ht="12.75">
      <c r="A410" s="12" t="s">
        <v>305</v>
      </c>
      <c r="B410" s="12"/>
      <c r="C410" s="48"/>
      <c r="D410" s="48"/>
      <c r="E410" s="48"/>
      <c r="F410" s="48">
        <f t="shared" si="121"/>
        <v>0</v>
      </c>
      <c r="G410" s="48">
        <f>1000+2350</f>
        <v>3350</v>
      </c>
      <c r="H410" s="48"/>
      <c r="I410" s="48">
        <f t="shared" si="117"/>
        <v>3350</v>
      </c>
      <c r="J410" s="48">
        <v>-300</v>
      </c>
      <c r="K410" s="48"/>
      <c r="L410" s="48">
        <f t="shared" si="118"/>
        <v>3050</v>
      </c>
      <c r="M410" s="55">
        <f>1627.2+1500+1160.8+1246.8</f>
        <v>5534.8</v>
      </c>
      <c r="N410" s="48"/>
      <c r="O410" s="48">
        <f t="shared" si="119"/>
        <v>8584.8</v>
      </c>
      <c r="P410" s="75">
        <f>4464.1-175-2578.8</f>
        <v>1710.3000000000002</v>
      </c>
      <c r="Q410" s="75"/>
      <c r="R410" s="75">
        <f t="shared" si="120"/>
        <v>10295.099999999999</v>
      </c>
    </row>
    <row r="411" spans="1:18" ht="12.75">
      <c r="A411" s="19" t="s">
        <v>312</v>
      </c>
      <c r="B411" s="19"/>
      <c r="C411" s="52">
        <v>36846.3</v>
      </c>
      <c r="D411" s="52"/>
      <c r="E411" s="52">
        <f>141892.6+100107.7</f>
        <v>242000.3</v>
      </c>
      <c r="F411" s="52">
        <f t="shared" si="121"/>
        <v>278846.6</v>
      </c>
      <c r="G411" s="56">
        <f>-1505.3-265.6-153.8-27.2-9987.3-563.8-238.9-42.2-3160.6-728.3-4644.2-123-21.7-146.3-25.8-1544.4-2028.3-18305</f>
        <v>-43511.7</v>
      </c>
      <c r="H411" s="52"/>
      <c r="I411" s="52">
        <f t="shared" si="117"/>
        <v>235334.89999999997</v>
      </c>
      <c r="J411" s="52">
        <f>2199.3+2743+514.4+48+9384.7+1489.8-453.6-248.9-2.5-0.4-1546.8-1856-223.9-55.3-1.6-11000-4000-2765.6-108.2-16.5-475.4-3758.4-58.7+2122.9+16932.1+11000+4000-785.5+2229.8+10455.1</f>
        <v>35761.8</v>
      </c>
      <c r="K411" s="52">
        <v>1144.3</v>
      </c>
      <c r="L411" s="52">
        <f t="shared" si="118"/>
        <v>272240.99999999994</v>
      </c>
      <c r="M411" s="56">
        <f>5794.3+111.3+1956.1+1328.5-10579.6-7.1-27864.3-1986.9-1938-342-1002.4-716.4-13.9-1627.2-2500-12083.4-166-1160.8+2162.6+25431+2905.8+117.1+107+57.1-171-6507.5-2265.8-398.6-70.3-559.5+13000+36</f>
        <v>-18953.900000000005</v>
      </c>
      <c r="N411" s="52">
        <f>-1305</f>
        <v>-1305</v>
      </c>
      <c r="O411" s="52">
        <f t="shared" si="119"/>
        <v>251982.09999999995</v>
      </c>
      <c r="P411" s="85">
        <f>88.8+687.3+40.4+125.9+301.6+2139.9+17282.8+6207.1-128-9324-66.3-1225.7-1217-214.8-18000-775.2-808-142.6-1520.3-771-4464.1-254.1-108.9-500+63.5+97.8-13277.3-1039.5-42.3-446.5+2578.8-3924.5-13.9-42.4-885.9-250.5-163.2-13.7-2.4-239.5-378.9-4290.1</f>
        <v>-34916.700000000004</v>
      </c>
      <c r="Q411" s="85"/>
      <c r="R411" s="85">
        <f t="shared" si="120"/>
        <v>217065.39999999994</v>
      </c>
    </row>
    <row r="412" spans="1:18" ht="12.75">
      <c r="A412" s="5" t="s">
        <v>132</v>
      </c>
      <c r="B412" s="5"/>
      <c r="C412" s="47">
        <f aca="true" t="shared" si="123" ref="C412:O412">C413+C440</f>
        <v>163499</v>
      </c>
      <c r="D412" s="47">
        <f t="shared" si="123"/>
        <v>0</v>
      </c>
      <c r="E412" s="47">
        <f t="shared" si="123"/>
        <v>17294.5</v>
      </c>
      <c r="F412" s="47">
        <f t="shared" si="123"/>
        <v>180793.5</v>
      </c>
      <c r="G412" s="47">
        <f t="shared" si="123"/>
        <v>21221.6</v>
      </c>
      <c r="H412" s="47">
        <f t="shared" si="123"/>
        <v>0</v>
      </c>
      <c r="I412" s="47">
        <f t="shared" si="123"/>
        <v>202015.09999999998</v>
      </c>
      <c r="J412" s="47">
        <f t="shared" si="123"/>
        <v>66352.9</v>
      </c>
      <c r="K412" s="47">
        <f t="shared" si="123"/>
        <v>0</v>
      </c>
      <c r="L412" s="47">
        <f t="shared" si="123"/>
        <v>268368</v>
      </c>
      <c r="M412" s="47">
        <f t="shared" si="123"/>
        <v>3873.2</v>
      </c>
      <c r="N412" s="47">
        <f t="shared" si="123"/>
        <v>0</v>
      </c>
      <c r="O412" s="47">
        <f t="shared" si="123"/>
        <v>272241.2</v>
      </c>
      <c r="P412" s="47">
        <f>P413+P440</f>
        <v>3709</v>
      </c>
      <c r="Q412" s="47">
        <f>Q413+Q440</f>
        <v>0</v>
      </c>
      <c r="R412" s="47">
        <f>R413+R440</f>
        <v>275950.20000000007</v>
      </c>
    </row>
    <row r="413" spans="1:18" ht="12.75">
      <c r="A413" s="14" t="s">
        <v>69</v>
      </c>
      <c r="B413" s="14"/>
      <c r="C413" s="51">
        <f aca="true" t="shared" si="124" ref="C413:O413">SUM(C415:C439)</f>
        <v>163499</v>
      </c>
      <c r="D413" s="51">
        <f t="shared" si="124"/>
        <v>0</v>
      </c>
      <c r="E413" s="51">
        <f t="shared" si="124"/>
        <v>17294.5</v>
      </c>
      <c r="F413" s="51">
        <f t="shared" si="124"/>
        <v>180793.5</v>
      </c>
      <c r="G413" s="51">
        <f t="shared" si="124"/>
        <v>21221.6</v>
      </c>
      <c r="H413" s="51">
        <f t="shared" si="124"/>
        <v>0</v>
      </c>
      <c r="I413" s="51">
        <f t="shared" si="124"/>
        <v>202015.09999999998</v>
      </c>
      <c r="J413" s="51">
        <f t="shared" si="124"/>
        <v>66352.9</v>
      </c>
      <c r="K413" s="51">
        <f t="shared" si="124"/>
        <v>0</v>
      </c>
      <c r="L413" s="51">
        <f t="shared" si="124"/>
        <v>268368</v>
      </c>
      <c r="M413" s="51">
        <f t="shared" si="124"/>
        <v>3873.2</v>
      </c>
      <c r="N413" s="51">
        <f t="shared" si="124"/>
        <v>0</v>
      </c>
      <c r="O413" s="51">
        <f t="shared" si="124"/>
        <v>272241.2</v>
      </c>
      <c r="P413" s="51">
        <f>SUM(P415:P439)</f>
        <v>3709</v>
      </c>
      <c r="Q413" s="51">
        <f>SUM(Q415:Q439)</f>
        <v>0</v>
      </c>
      <c r="R413" s="51">
        <f>SUM(R415:R439)</f>
        <v>275950.20000000007</v>
      </c>
    </row>
    <row r="414" spans="1:18" ht="12.75">
      <c r="A414" s="10" t="s">
        <v>38</v>
      </c>
      <c r="B414" s="10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75"/>
      <c r="Q414" s="75"/>
      <c r="R414" s="75"/>
    </row>
    <row r="415" spans="1:18" ht="12.75">
      <c r="A415" s="21" t="s">
        <v>133</v>
      </c>
      <c r="B415" s="21"/>
      <c r="C415" s="48">
        <v>129351</v>
      </c>
      <c r="D415" s="48"/>
      <c r="E415" s="48"/>
      <c r="F415" s="48">
        <f>C415+D415+E415</f>
        <v>129351</v>
      </c>
      <c r="G415" s="48"/>
      <c r="H415" s="48"/>
      <c r="I415" s="48">
        <f>F415+G415+H415</f>
        <v>129351</v>
      </c>
      <c r="J415" s="48"/>
      <c r="K415" s="48"/>
      <c r="L415" s="48">
        <f>I415+J415+K415</f>
        <v>129351</v>
      </c>
      <c r="M415" s="48"/>
      <c r="N415" s="48"/>
      <c r="O415" s="48">
        <f>L415+M415+N415</f>
        <v>129351</v>
      </c>
      <c r="P415" s="75"/>
      <c r="Q415" s="75"/>
      <c r="R415" s="75">
        <f>O415+P415+Q415</f>
        <v>129351</v>
      </c>
    </row>
    <row r="416" spans="1:18" ht="12.75">
      <c r="A416" s="8" t="s">
        <v>246</v>
      </c>
      <c r="B416" s="8"/>
      <c r="C416" s="48">
        <v>26000</v>
      </c>
      <c r="D416" s="48"/>
      <c r="E416" s="48"/>
      <c r="F416" s="48">
        <f aca="true" t="shared" si="125" ref="F416:F439">C416+D416+E416</f>
        <v>26000</v>
      </c>
      <c r="G416" s="48"/>
      <c r="H416" s="48"/>
      <c r="I416" s="48">
        <f>F416+G416+H416</f>
        <v>26000</v>
      </c>
      <c r="J416" s="48"/>
      <c r="K416" s="48"/>
      <c r="L416" s="48">
        <f>I416+J416+K416</f>
        <v>26000</v>
      </c>
      <c r="M416" s="48"/>
      <c r="N416" s="48"/>
      <c r="O416" s="48">
        <f aca="true" t="shared" si="126" ref="O416:O439">L416+M416+N416</f>
        <v>26000</v>
      </c>
      <c r="P416" s="75"/>
      <c r="Q416" s="75"/>
      <c r="R416" s="75">
        <f aca="true" t="shared" si="127" ref="R416:R439">O416+P416+Q416</f>
        <v>26000</v>
      </c>
    </row>
    <row r="417" spans="1:18" ht="12.75">
      <c r="A417" s="8" t="s">
        <v>72</v>
      </c>
      <c r="B417" s="8"/>
      <c r="C417" s="48">
        <v>8148</v>
      </c>
      <c r="D417" s="48"/>
      <c r="E417" s="48"/>
      <c r="F417" s="48">
        <f t="shared" si="125"/>
        <v>8148</v>
      </c>
      <c r="G417" s="48"/>
      <c r="H417" s="48"/>
      <c r="I417" s="48">
        <f aca="true" t="shared" si="128" ref="I417:I439">F417+G417+H417</f>
        <v>8148</v>
      </c>
      <c r="J417" s="48"/>
      <c r="K417" s="48"/>
      <c r="L417" s="48">
        <f aca="true" t="shared" si="129" ref="L417:L439">I417+J417+K417</f>
        <v>8148</v>
      </c>
      <c r="M417" s="48"/>
      <c r="N417" s="48"/>
      <c r="O417" s="48">
        <f t="shared" si="126"/>
        <v>8148</v>
      </c>
      <c r="P417" s="75"/>
      <c r="Q417" s="75"/>
      <c r="R417" s="75">
        <f t="shared" si="127"/>
        <v>8148</v>
      </c>
    </row>
    <row r="418" spans="1:18" ht="12.75">
      <c r="A418" s="8" t="s">
        <v>350</v>
      </c>
      <c r="B418" s="8"/>
      <c r="C418" s="48"/>
      <c r="D418" s="48"/>
      <c r="E418" s="48"/>
      <c r="F418" s="48">
        <f t="shared" si="125"/>
        <v>0</v>
      </c>
      <c r="G418" s="48"/>
      <c r="H418" s="48"/>
      <c r="I418" s="48">
        <f t="shared" si="128"/>
        <v>0</v>
      </c>
      <c r="J418" s="48">
        <v>500</v>
      </c>
      <c r="K418" s="48"/>
      <c r="L418" s="48">
        <f t="shared" si="129"/>
        <v>500</v>
      </c>
      <c r="M418" s="48"/>
      <c r="N418" s="48"/>
      <c r="O418" s="48">
        <f t="shared" si="126"/>
        <v>500</v>
      </c>
      <c r="P418" s="75"/>
      <c r="Q418" s="75"/>
      <c r="R418" s="75">
        <f t="shared" si="127"/>
        <v>500</v>
      </c>
    </row>
    <row r="419" spans="1:18" ht="12.75">
      <c r="A419" s="17" t="s">
        <v>311</v>
      </c>
      <c r="B419" s="65">
        <v>4802</v>
      </c>
      <c r="C419" s="48"/>
      <c r="D419" s="48"/>
      <c r="E419" s="48"/>
      <c r="F419" s="48">
        <f t="shared" si="125"/>
        <v>0</v>
      </c>
      <c r="G419" s="48">
        <v>1576.4</v>
      </c>
      <c r="H419" s="48"/>
      <c r="I419" s="48">
        <f t="shared" si="128"/>
        <v>1576.4</v>
      </c>
      <c r="J419" s="48"/>
      <c r="K419" s="48"/>
      <c r="L419" s="48">
        <f t="shared" si="129"/>
        <v>1576.4</v>
      </c>
      <c r="M419" s="48"/>
      <c r="N419" s="48"/>
      <c r="O419" s="48">
        <f t="shared" si="126"/>
        <v>1576.4</v>
      </c>
      <c r="P419" s="75"/>
      <c r="Q419" s="75"/>
      <c r="R419" s="75">
        <f t="shared" si="127"/>
        <v>1576.4</v>
      </c>
    </row>
    <row r="420" spans="1:18" ht="12.75" hidden="1">
      <c r="A420" s="17" t="s">
        <v>201</v>
      </c>
      <c r="B420" s="65"/>
      <c r="C420" s="48"/>
      <c r="D420" s="48"/>
      <c r="E420" s="48"/>
      <c r="F420" s="48">
        <f t="shared" si="125"/>
        <v>0</v>
      </c>
      <c r="G420" s="48"/>
      <c r="H420" s="48"/>
      <c r="I420" s="48">
        <f t="shared" si="128"/>
        <v>0</v>
      </c>
      <c r="J420" s="48"/>
      <c r="K420" s="48"/>
      <c r="L420" s="48">
        <f t="shared" si="129"/>
        <v>0</v>
      </c>
      <c r="M420" s="48"/>
      <c r="N420" s="48"/>
      <c r="O420" s="48">
        <f t="shared" si="126"/>
        <v>0</v>
      </c>
      <c r="P420" s="75"/>
      <c r="Q420" s="75"/>
      <c r="R420" s="75">
        <f t="shared" si="127"/>
        <v>0</v>
      </c>
    </row>
    <row r="421" spans="1:18" ht="12.75">
      <c r="A421" s="6" t="s">
        <v>276</v>
      </c>
      <c r="B421" s="76" t="s">
        <v>343</v>
      </c>
      <c r="C421" s="48"/>
      <c r="D421" s="48"/>
      <c r="E421" s="48">
        <v>489.4</v>
      </c>
      <c r="F421" s="48">
        <f t="shared" si="125"/>
        <v>489.4</v>
      </c>
      <c r="G421" s="48"/>
      <c r="H421" s="48"/>
      <c r="I421" s="48">
        <f t="shared" si="128"/>
        <v>489.4</v>
      </c>
      <c r="J421" s="48"/>
      <c r="K421" s="48"/>
      <c r="L421" s="48">
        <f t="shared" si="129"/>
        <v>489.4</v>
      </c>
      <c r="M421" s="48"/>
      <c r="N421" s="48"/>
      <c r="O421" s="48">
        <f t="shared" si="126"/>
        <v>489.4</v>
      </c>
      <c r="P421" s="75"/>
      <c r="Q421" s="75"/>
      <c r="R421" s="75">
        <f t="shared" si="127"/>
        <v>489.4</v>
      </c>
    </row>
    <row r="422" spans="1:18" ht="12.75">
      <c r="A422" s="6" t="s">
        <v>330</v>
      </c>
      <c r="B422" s="65"/>
      <c r="C422" s="48"/>
      <c r="D422" s="48"/>
      <c r="E422" s="48"/>
      <c r="F422" s="48"/>
      <c r="G422" s="48"/>
      <c r="H422" s="48"/>
      <c r="I422" s="48">
        <f t="shared" si="128"/>
        <v>0</v>
      </c>
      <c r="J422" s="48">
        <v>332.4</v>
      </c>
      <c r="K422" s="48"/>
      <c r="L422" s="48">
        <f t="shared" si="129"/>
        <v>332.4</v>
      </c>
      <c r="M422" s="48">
        <v>373.2</v>
      </c>
      <c r="N422" s="48"/>
      <c r="O422" s="48">
        <f t="shared" si="126"/>
        <v>705.5999999999999</v>
      </c>
      <c r="P422" s="75"/>
      <c r="Q422" s="75"/>
      <c r="R422" s="75">
        <f t="shared" si="127"/>
        <v>705.5999999999999</v>
      </c>
    </row>
    <row r="423" spans="1:18" ht="12.75">
      <c r="A423" s="17" t="s">
        <v>308</v>
      </c>
      <c r="B423" s="65">
        <v>4702</v>
      </c>
      <c r="C423" s="48"/>
      <c r="D423" s="48"/>
      <c r="E423" s="48"/>
      <c r="F423" s="48">
        <f t="shared" si="125"/>
        <v>0</v>
      </c>
      <c r="G423" s="48">
        <v>2456.5</v>
      </c>
      <c r="H423" s="48"/>
      <c r="I423" s="48">
        <f t="shared" si="128"/>
        <v>2456.5</v>
      </c>
      <c r="J423" s="48"/>
      <c r="K423" s="48"/>
      <c r="L423" s="48">
        <f t="shared" si="129"/>
        <v>2456.5</v>
      </c>
      <c r="M423" s="48"/>
      <c r="N423" s="48"/>
      <c r="O423" s="48">
        <f t="shared" si="126"/>
        <v>2456.5</v>
      </c>
      <c r="P423" s="75"/>
      <c r="Q423" s="75"/>
      <c r="R423" s="75">
        <f t="shared" si="127"/>
        <v>2456.5</v>
      </c>
    </row>
    <row r="424" spans="1:18" ht="12.75">
      <c r="A424" s="17" t="s">
        <v>331</v>
      </c>
      <c r="B424" s="65">
        <v>3400</v>
      </c>
      <c r="C424" s="48"/>
      <c r="D424" s="48"/>
      <c r="E424" s="48"/>
      <c r="F424" s="48"/>
      <c r="G424" s="48"/>
      <c r="H424" s="48"/>
      <c r="I424" s="48">
        <f t="shared" si="128"/>
        <v>0</v>
      </c>
      <c r="J424" s="48">
        <f>1264.7+1452.5</f>
        <v>2717.2</v>
      </c>
      <c r="K424" s="48"/>
      <c r="L424" s="48">
        <f t="shared" si="129"/>
        <v>2717.2</v>
      </c>
      <c r="M424" s="48"/>
      <c r="N424" s="48"/>
      <c r="O424" s="48">
        <f t="shared" si="126"/>
        <v>2717.2</v>
      </c>
      <c r="P424" s="75"/>
      <c r="Q424" s="75"/>
      <c r="R424" s="75">
        <f t="shared" si="127"/>
        <v>2717.2</v>
      </c>
    </row>
    <row r="425" spans="1:18" ht="12.75">
      <c r="A425" s="17" t="s">
        <v>385</v>
      </c>
      <c r="B425" s="65">
        <v>4700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>
        <f t="shared" si="126"/>
        <v>0</v>
      </c>
      <c r="P425" s="75">
        <v>2761</v>
      </c>
      <c r="Q425" s="75"/>
      <c r="R425" s="75">
        <f t="shared" si="127"/>
        <v>2761</v>
      </c>
    </row>
    <row r="426" spans="1:18" ht="12.75">
      <c r="A426" s="8" t="s">
        <v>309</v>
      </c>
      <c r="B426" s="64">
        <v>4600</v>
      </c>
      <c r="C426" s="48"/>
      <c r="D426" s="48"/>
      <c r="E426" s="48"/>
      <c r="F426" s="48">
        <f t="shared" si="125"/>
        <v>0</v>
      </c>
      <c r="G426" s="48">
        <v>10065.4</v>
      </c>
      <c r="H426" s="48"/>
      <c r="I426" s="48">
        <f t="shared" si="128"/>
        <v>10065.4</v>
      </c>
      <c r="J426" s="48"/>
      <c r="K426" s="48"/>
      <c r="L426" s="48">
        <f t="shared" si="129"/>
        <v>10065.4</v>
      </c>
      <c r="M426" s="48"/>
      <c r="N426" s="48"/>
      <c r="O426" s="48">
        <f t="shared" si="126"/>
        <v>10065.4</v>
      </c>
      <c r="P426" s="75"/>
      <c r="Q426" s="75"/>
      <c r="R426" s="75">
        <f t="shared" si="127"/>
        <v>10065.4</v>
      </c>
    </row>
    <row r="427" spans="1:18" ht="12.75">
      <c r="A427" s="8" t="s">
        <v>274</v>
      </c>
      <c r="B427" s="64">
        <v>4602</v>
      </c>
      <c r="C427" s="48"/>
      <c r="D427" s="48"/>
      <c r="E427" s="48">
        <v>12311.9</v>
      </c>
      <c r="F427" s="48">
        <f t="shared" si="125"/>
        <v>12311.9</v>
      </c>
      <c r="G427" s="48"/>
      <c r="H427" s="48"/>
      <c r="I427" s="48">
        <f t="shared" si="128"/>
        <v>12311.9</v>
      </c>
      <c r="J427" s="48"/>
      <c r="K427" s="48"/>
      <c r="L427" s="48">
        <f t="shared" si="129"/>
        <v>12311.9</v>
      </c>
      <c r="M427" s="48"/>
      <c r="N427" s="48"/>
      <c r="O427" s="48">
        <f t="shared" si="126"/>
        <v>12311.9</v>
      </c>
      <c r="P427" s="75"/>
      <c r="Q427" s="75"/>
      <c r="R427" s="75">
        <f t="shared" si="127"/>
        <v>12311.9</v>
      </c>
    </row>
    <row r="428" spans="1:18" ht="12.75">
      <c r="A428" s="8" t="s">
        <v>328</v>
      </c>
      <c r="B428" s="64"/>
      <c r="C428" s="48"/>
      <c r="D428" s="48"/>
      <c r="E428" s="48"/>
      <c r="F428" s="48"/>
      <c r="G428" s="48"/>
      <c r="H428" s="48"/>
      <c r="I428" s="48">
        <f t="shared" si="128"/>
        <v>0</v>
      </c>
      <c r="J428" s="48">
        <f>1434.8+11187.6+33000</f>
        <v>45622.4</v>
      </c>
      <c r="K428" s="48"/>
      <c r="L428" s="48">
        <f t="shared" si="129"/>
        <v>45622.4</v>
      </c>
      <c r="M428" s="48"/>
      <c r="N428" s="48"/>
      <c r="O428" s="48">
        <f t="shared" si="126"/>
        <v>45622.4</v>
      </c>
      <c r="P428" s="75"/>
      <c r="Q428" s="75"/>
      <c r="R428" s="75">
        <f t="shared" si="127"/>
        <v>45622.4</v>
      </c>
    </row>
    <row r="429" spans="1:18" ht="12.75">
      <c r="A429" s="17" t="s">
        <v>275</v>
      </c>
      <c r="B429" s="65">
        <v>5303</v>
      </c>
      <c r="C429" s="48"/>
      <c r="D429" s="48"/>
      <c r="E429" s="48">
        <v>4493.2</v>
      </c>
      <c r="F429" s="48">
        <f t="shared" si="125"/>
        <v>4493.2</v>
      </c>
      <c r="G429" s="48"/>
      <c r="H429" s="48"/>
      <c r="I429" s="48">
        <f t="shared" si="128"/>
        <v>4493.2</v>
      </c>
      <c r="J429" s="48"/>
      <c r="K429" s="48"/>
      <c r="L429" s="48">
        <f t="shared" si="129"/>
        <v>4493.2</v>
      </c>
      <c r="M429" s="48"/>
      <c r="N429" s="48"/>
      <c r="O429" s="48">
        <f t="shared" si="126"/>
        <v>4493.2</v>
      </c>
      <c r="P429" s="75"/>
      <c r="Q429" s="75"/>
      <c r="R429" s="75">
        <f t="shared" si="127"/>
        <v>4493.2</v>
      </c>
    </row>
    <row r="430" spans="1:18" ht="12.75">
      <c r="A430" s="17" t="s">
        <v>329</v>
      </c>
      <c r="B430" s="65"/>
      <c r="C430" s="48"/>
      <c r="D430" s="48"/>
      <c r="E430" s="48"/>
      <c r="F430" s="48"/>
      <c r="G430" s="48"/>
      <c r="H430" s="48"/>
      <c r="I430" s="48">
        <f t="shared" si="128"/>
        <v>0</v>
      </c>
      <c r="J430" s="48">
        <f>389+4120.9+12000</f>
        <v>16509.9</v>
      </c>
      <c r="K430" s="48"/>
      <c r="L430" s="48">
        <f t="shared" si="129"/>
        <v>16509.9</v>
      </c>
      <c r="M430" s="48"/>
      <c r="N430" s="48"/>
      <c r="O430" s="48">
        <f t="shared" si="126"/>
        <v>16509.9</v>
      </c>
      <c r="P430" s="75"/>
      <c r="Q430" s="75"/>
      <c r="R430" s="75">
        <f t="shared" si="127"/>
        <v>16509.9</v>
      </c>
    </row>
    <row r="431" spans="1:18" ht="12.75">
      <c r="A431" s="17" t="s">
        <v>310</v>
      </c>
      <c r="B431" s="65">
        <v>5302</v>
      </c>
      <c r="C431" s="48"/>
      <c r="D431" s="48"/>
      <c r="E431" s="48"/>
      <c r="F431" s="48">
        <f t="shared" si="125"/>
        <v>0</v>
      </c>
      <c r="G431" s="48">
        <v>2550.4</v>
      </c>
      <c r="H431" s="48"/>
      <c r="I431" s="48">
        <f t="shared" si="128"/>
        <v>2550.4</v>
      </c>
      <c r="J431" s="48"/>
      <c r="K431" s="48"/>
      <c r="L431" s="48">
        <f t="shared" si="129"/>
        <v>2550.4</v>
      </c>
      <c r="M431" s="48"/>
      <c r="N431" s="48"/>
      <c r="O431" s="48">
        <f t="shared" si="126"/>
        <v>2550.4</v>
      </c>
      <c r="P431" s="75"/>
      <c r="Q431" s="75"/>
      <c r="R431" s="75">
        <f t="shared" si="127"/>
        <v>2550.4</v>
      </c>
    </row>
    <row r="432" spans="1:18" ht="12.75" hidden="1">
      <c r="A432" s="17" t="s">
        <v>202</v>
      </c>
      <c r="B432" s="77"/>
      <c r="C432" s="48"/>
      <c r="D432" s="48"/>
      <c r="E432" s="48"/>
      <c r="F432" s="48">
        <f t="shared" si="125"/>
        <v>0</v>
      </c>
      <c r="G432" s="48"/>
      <c r="H432" s="48"/>
      <c r="I432" s="48">
        <f t="shared" si="128"/>
        <v>0</v>
      </c>
      <c r="J432" s="48"/>
      <c r="K432" s="48"/>
      <c r="L432" s="48">
        <f t="shared" si="129"/>
        <v>0</v>
      </c>
      <c r="M432" s="48"/>
      <c r="N432" s="48"/>
      <c r="O432" s="48">
        <f t="shared" si="126"/>
        <v>0</v>
      </c>
      <c r="P432" s="75"/>
      <c r="Q432" s="75"/>
      <c r="R432" s="75">
        <f t="shared" si="127"/>
        <v>0</v>
      </c>
    </row>
    <row r="433" spans="1:18" ht="12.75">
      <c r="A433" s="17" t="s">
        <v>302</v>
      </c>
      <c r="B433" s="78" t="s">
        <v>345</v>
      </c>
      <c r="C433" s="48"/>
      <c r="D433" s="48"/>
      <c r="E433" s="48"/>
      <c r="F433" s="48">
        <f t="shared" si="125"/>
        <v>0</v>
      </c>
      <c r="G433" s="48">
        <v>262</v>
      </c>
      <c r="H433" s="48"/>
      <c r="I433" s="48">
        <f t="shared" si="128"/>
        <v>262</v>
      </c>
      <c r="J433" s="48"/>
      <c r="K433" s="48"/>
      <c r="L433" s="48">
        <f t="shared" si="129"/>
        <v>262</v>
      </c>
      <c r="M433" s="48"/>
      <c r="N433" s="48"/>
      <c r="O433" s="48">
        <f t="shared" si="126"/>
        <v>262</v>
      </c>
      <c r="P433" s="75"/>
      <c r="Q433" s="75"/>
      <c r="R433" s="75">
        <f t="shared" si="127"/>
        <v>262</v>
      </c>
    </row>
    <row r="434" spans="1:18" ht="12.75" hidden="1">
      <c r="A434" s="17" t="s">
        <v>197</v>
      </c>
      <c r="B434" s="77"/>
      <c r="C434" s="48"/>
      <c r="D434" s="48"/>
      <c r="E434" s="48"/>
      <c r="F434" s="48">
        <f t="shared" si="125"/>
        <v>0</v>
      </c>
      <c r="G434" s="48"/>
      <c r="H434" s="48"/>
      <c r="I434" s="48">
        <f t="shared" si="128"/>
        <v>0</v>
      </c>
      <c r="J434" s="48"/>
      <c r="K434" s="48"/>
      <c r="L434" s="48">
        <f t="shared" si="129"/>
        <v>0</v>
      </c>
      <c r="M434" s="48"/>
      <c r="N434" s="48"/>
      <c r="O434" s="48">
        <f t="shared" si="126"/>
        <v>0</v>
      </c>
      <c r="P434" s="75"/>
      <c r="Q434" s="75"/>
      <c r="R434" s="75">
        <f t="shared" si="127"/>
        <v>0</v>
      </c>
    </row>
    <row r="435" spans="1:18" ht="12.75">
      <c r="A435" s="8" t="s">
        <v>134</v>
      </c>
      <c r="B435" s="60">
        <v>13307</v>
      </c>
      <c r="C435" s="48"/>
      <c r="D435" s="48"/>
      <c r="E435" s="48"/>
      <c r="F435" s="48">
        <f t="shared" si="125"/>
        <v>0</v>
      </c>
      <c r="G435" s="48">
        <f>3662.5+648.4</f>
        <v>4310.9</v>
      </c>
      <c r="H435" s="48"/>
      <c r="I435" s="48">
        <f t="shared" si="128"/>
        <v>4310.9</v>
      </c>
      <c r="J435" s="48"/>
      <c r="K435" s="48"/>
      <c r="L435" s="48">
        <f t="shared" si="129"/>
        <v>4310.9</v>
      </c>
      <c r="M435" s="48">
        <v>3500</v>
      </c>
      <c r="N435" s="48"/>
      <c r="O435" s="48">
        <f t="shared" si="126"/>
        <v>7810.9</v>
      </c>
      <c r="P435" s="75"/>
      <c r="Q435" s="75"/>
      <c r="R435" s="75">
        <f t="shared" si="127"/>
        <v>7810.9</v>
      </c>
    </row>
    <row r="436" spans="1:18" ht="12.75">
      <c r="A436" s="8" t="s">
        <v>209</v>
      </c>
      <c r="B436" s="60">
        <v>14018</v>
      </c>
      <c r="C436" s="48"/>
      <c r="D436" s="48"/>
      <c r="E436" s="48"/>
      <c r="F436" s="48">
        <f t="shared" si="125"/>
        <v>0</v>
      </c>
      <c r="G436" s="48"/>
      <c r="H436" s="48"/>
      <c r="I436" s="48">
        <f t="shared" si="128"/>
        <v>0</v>
      </c>
      <c r="J436" s="48">
        <f>448+131</f>
        <v>579</v>
      </c>
      <c r="K436" s="48"/>
      <c r="L436" s="48">
        <f t="shared" si="129"/>
        <v>579</v>
      </c>
      <c r="M436" s="48"/>
      <c r="N436" s="48"/>
      <c r="O436" s="48">
        <f t="shared" si="126"/>
        <v>579</v>
      </c>
      <c r="P436" s="75">
        <v>448</v>
      </c>
      <c r="Q436" s="75"/>
      <c r="R436" s="75">
        <f t="shared" si="127"/>
        <v>1027</v>
      </c>
    </row>
    <row r="437" spans="1:18" ht="12.75">
      <c r="A437" s="17" t="s">
        <v>347</v>
      </c>
      <c r="B437" s="62" t="s">
        <v>344</v>
      </c>
      <c r="C437" s="48"/>
      <c r="D437" s="48"/>
      <c r="E437" s="48"/>
      <c r="F437" s="48">
        <f t="shared" si="125"/>
        <v>0</v>
      </c>
      <c r="G437" s="48"/>
      <c r="H437" s="48"/>
      <c r="I437" s="48">
        <f t="shared" si="128"/>
        <v>0</v>
      </c>
      <c r="J437" s="48">
        <v>92</v>
      </c>
      <c r="K437" s="48"/>
      <c r="L437" s="48">
        <f t="shared" si="129"/>
        <v>92</v>
      </c>
      <c r="M437" s="48"/>
      <c r="N437" s="48"/>
      <c r="O437" s="48">
        <f t="shared" si="126"/>
        <v>92</v>
      </c>
      <c r="P437" s="75"/>
      <c r="Q437" s="75"/>
      <c r="R437" s="75">
        <f t="shared" si="127"/>
        <v>92</v>
      </c>
    </row>
    <row r="438" spans="1:18" ht="12.75">
      <c r="A438" s="11" t="s">
        <v>103</v>
      </c>
      <c r="B438" s="11"/>
      <c r="C438" s="52"/>
      <c r="D438" s="52"/>
      <c r="E438" s="52"/>
      <c r="F438" s="52">
        <f t="shared" si="125"/>
        <v>0</v>
      </c>
      <c r="G438" s="52"/>
      <c r="H438" s="52"/>
      <c r="I438" s="52">
        <f t="shared" si="128"/>
        <v>0</v>
      </c>
      <c r="J438" s="52">
        <f>11000+4000-11000-4000</f>
        <v>0</v>
      </c>
      <c r="K438" s="52"/>
      <c r="L438" s="52">
        <f t="shared" si="129"/>
        <v>0</v>
      </c>
      <c r="M438" s="52"/>
      <c r="N438" s="52"/>
      <c r="O438" s="52">
        <f t="shared" si="126"/>
        <v>0</v>
      </c>
      <c r="P438" s="85">
        <v>500</v>
      </c>
      <c r="Q438" s="85"/>
      <c r="R438" s="85">
        <f t="shared" si="127"/>
        <v>500</v>
      </c>
    </row>
    <row r="439" spans="1:18" ht="12.75" hidden="1">
      <c r="A439" s="8" t="s">
        <v>89</v>
      </c>
      <c r="B439" s="8"/>
      <c r="C439" s="48"/>
      <c r="D439" s="48"/>
      <c r="E439" s="48"/>
      <c r="F439" s="48">
        <f t="shared" si="125"/>
        <v>0</v>
      </c>
      <c r="G439" s="48"/>
      <c r="H439" s="48"/>
      <c r="I439" s="48">
        <f t="shared" si="128"/>
        <v>0</v>
      </c>
      <c r="J439" s="48"/>
      <c r="K439" s="48"/>
      <c r="L439" s="48">
        <f t="shared" si="129"/>
        <v>0</v>
      </c>
      <c r="M439" s="48"/>
      <c r="N439" s="48"/>
      <c r="O439" s="48">
        <f t="shared" si="126"/>
        <v>0</v>
      </c>
      <c r="P439" s="75"/>
      <c r="Q439" s="75"/>
      <c r="R439" s="75">
        <f t="shared" si="127"/>
        <v>0</v>
      </c>
    </row>
    <row r="440" spans="1:18" ht="12.75" hidden="1">
      <c r="A440" s="14" t="s">
        <v>75</v>
      </c>
      <c r="B440" s="14"/>
      <c r="C440" s="51">
        <f aca="true" t="shared" si="130" ref="C440:R440">SUM(C442:C445)</f>
        <v>0</v>
      </c>
      <c r="D440" s="51">
        <f t="shared" si="130"/>
        <v>0</v>
      </c>
      <c r="E440" s="51"/>
      <c r="F440" s="51">
        <f t="shared" si="130"/>
        <v>0</v>
      </c>
      <c r="G440" s="51">
        <f t="shared" si="130"/>
        <v>0</v>
      </c>
      <c r="H440" s="51">
        <f t="shared" si="130"/>
        <v>0</v>
      </c>
      <c r="I440" s="51">
        <f t="shared" si="130"/>
        <v>0</v>
      </c>
      <c r="J440" s="51"/>
      <c r="K440" s="51"/>
      <c r="L440" s="51">
        <f t="shared" si="130"/>
        <v>0</v>
      </c>
      <c r="M440" s="51">
        <f t="shared" si="130"/>
        <v>0</v>
      </c>
      <c r="N440" s="51">
        <f t="shared" si="130"/>
        <v>0</v>
      </c>
      <c r="O440" s="51">
        <f t="shared" si="130"/>
        <v>0</v>
      </c>
      <c r="P440" s="51">
        <f t="shared" si="130"/>
        <v>0</v>
      </c>
      <c r="Q440" s="51">
        <f t="shared" si="130"/>
        <v>0</v>
      </c>
      <c r="R440" s="51">
        <f t="shared" si="130"/>
        <v>0</v>
      </c>
    </row>
    <row r="441" spans="1:18" ht="12.75" hidden="1">
      <c r="A441" s="10" t="s">
        <v>38</v>
      </c>
      <c r="B441" s="10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75"/>
      <c r="Q441" s="75"/>
      <c r="R441" s="75"/>
    </row>
    <row r="442" spans="1:18" ht="12.75" hidden="1">
      <c r="A442" s="8" t="s">
        <v>125</v>
      </c>
      <c r="B442" s="8"/>
      <c r="C442" s="48"/>
      <c r="D442" s="48"/>
      <c r="E442" s="48"/>
      <c r="F442" s="48">
        <f>C442+D442+E442</f>
        <v>0</v>
      </c>
      <c r="G442" s="48"/>
      <c r="H442" s="48"/>
      <c r="I442" s="48">
        <f>F442+G442+H442</f>
        <v>0</v>
      </c>
      <c r="J442" s="48"/>
      <c r="K442" s="48"/>
      <c r="L442" s="48">
        <f>I442+J442+K442</f>
        <v>0</v>
      </c>
      <c r="M442" s="48"/>
      <c r="N442" s="48"/>
      <c r="O442" s="48">
        <f>L442+M442+N442</f>
        <v>0</v>
      </c>
      <c r="P442" s="75"/>
      <c r="Q442" s="75"/>
      <c r="R442" s="75">
        <f>O442+P442+Q442</f>
        <v>0</v>
      </c>
    </row>
    <row r="443" spans="1:18" ht="12.75" hidden="1">
      <c r="A443" s="8" t="s">
        <v>76</v>
      </c>
      <c r="B443" s="8"/>
      <c r="C443" s="48"/>
      <c r="D443" s="48"/>
      <c r="E443" s="48"/>
      <c r="F443" s="48">
        <f>C443+D443+E443</f>
        <v>0</v>
      </c>
      <c r="G443" s="48"/>
      <c r="H443" s="48"/>
      <c r="I443" s="48"/>
      <c r="J443" s="48"/>
      <c r="K443" s="48"/>
      <c r="L443" s="48">
        <f>I443+J443+K443</f>
        <v>0</v>
      </c>
      <c r="M443" s="48"/>
      <c r="N443" s="48"/>
      <c r="O443" s="48">
        <f>L443+M443+N443</f>
        <v>0</v>
      </c>
      <c r="P443" s="75"/>
      <c r="Q443" s="75"/>
      <c r="R443" s="75">
        <f>O443+P443+Q443</f>
        <v>0</v>
      </c>
    </row>
    <row r="444" spans="1:18" ht="12.75" hidden="1">
      <c r="A444" s="8" t="s">
        <v>103</v>
      </c>
      <c r="B444" s="8"/>
      <c r="C444" s="48"/>
      <c r="D444" s="48"/>
      <c r="E444" s="48"/>
      <c r="F444" s="48">
        <f>C444+D444+E444</f>
        <v>0</v>
      </c>
      <c r="G444" s="48"/>
      <c r="H444" s="48"/>
      <c r="I444" s="48">
        <f>F444+G444+H444</f>
        <v>0</v>
      </c>
      <c r="J444" s="48"/>
      <c r="K444" s="48"/>
      <c r="L444" s="48">
        <f>I444+J444+K444</f>
        <v>0</v>
      </c>
      <c r="M444" s="48"/>
      <c r="N444" s="48"/>
      <c r="O444" s="48">
        <f>L444+M444+N444</f>
        <v>0</v>
      </c>
      <c r="P444" s="75"/>
      <c r="Q444" s="75"/>
      <c r="R444" s="75">
        <f>O444+P444+Q444</f>
        <v>0</v>
      </c>
    </row>
    <row r="445" spans="1:18" ht="12.75" hidden="1">
      <c r="A445" s="11" t="s">
        <v>231</v>
      </c>
      <c r="B445" s="11"/>
      <c r="C445" s="52"/>
      <c r="D445" s="52"/>
      <c r="E445" s="52"/>
      <c r="F445" s="52">
        <f>C445+D445+E445</f>
        <v>0</v>
      </c>
      <c r="G445" s="52"/>
      <c r="H445" s="52"/>
      <c r="I445" s="52">
        <f>F445+G445+H445</f>
        <v>0</v>
      </c>
      <c r="J445" s="52"/>
      <c r="K445" s="52"/>
      <c r="L445" s="52">
        <f>I445+J445+K445</f>
        <v>0</v>
      </c>
      <c r="M445" s="52"/>
      <c r="N445" s="52"/>
      <c r="O445" s="52">
        <f>L445+M445+N445</f>
        <v>0</v>
      </c>
      <c r="P445" s="85"/>
      <c r="Q445" s="85"/>
      <c r="R445" s="85">
        <f>O445+P445+Q445</f>
        <v>0</v>
      </c>
    </row>
    <row r="446" spans="1:18" ht="12.75">
      <c r="A446" s="9" t="s">
        <v>135</v>
      </c>
      <c r="B446" s="9"/>
      <c r="C446" s="47">
        <f aca="true" t="shared" si="131" ref="C446:O446">C447+C460</f>
        <v>19867</v>
      </c>
      <c r="D446" s="47">
        <f t="shared" si="131"/>
        <v>35633</v>
      </c>
      <c r="E446" s="47">
        <f t="shared" si="131"/>
        <v>143.1</v>
      </c>
      <c r="F446" s="47">
        <f t="shared" si="131"/>
        <v>55643.1</v>
      </c>
      <c r="G446" s="47">
        <f t="shared" si="131"/>
        <v>9003</v>
      </c>
      <c r="H446" s="47">
        <f t="shared" si="131"/>
        <v>0</v>
      </c>
      <c r="I446" s="47">
        <f t="shared" si="131"/>
        <v>64646.1</v>
      </c>
      <c r="J446" s="47">
        <f t="shared" si="131"/>
        <v>2255.2</v>
      </c>
      <c r="K446" s="47">
        <f t="shared" si="131"/>
        <v>1000</v>
      </c>
      <c r="L446" s="47">
        <f t="shared" si="131"/>
        <v>67901.29999999999</v>
      </c>
      <c r="M446" s="47">
        <f t="shared" si="131"/>
        <v>1732.1</v>
      </c>
      <c r="N446" s="47">
        <f t="shared" si="131"/>
        <v>0</v>
      </c>
      <c r="O446" s="47">
        <f t="shared" si="131"/>
        <v>69633.4</v>
      </c>
      <c r="P446" s="47">
        <f>P447+P460</f>
        <v>21778.3</v>
      </c>
      <c r="Q446" s="47">
        <f>Q447+Q460</f>
        <v>0</v>
      </c>
      <c r="R446" s="47">
        <f>R447+R460</f>
        <v>91411.7</v>
      </c>
    </row>
    <row r="447" spans="1:18" ht="12.75">
      <c r="A447" s="14" t="s">
        <v>69</v>
      </c>
      <c r="B447" s="14"/>
      <c r="C447" s="51">
        <f>SUM(C449:C459)</f>
        <v>15336.6</v>
      </c>
      <c r="D447" s="51">
        <f aca="true" t="shared" si="132" ref="D447:R447">SUM(D449:D459)</f>
        <v>40163.4</v>
      </c>
      <c r="E447" s="51">
        <f t="shared" si="132"/>
        <v>143.1</v>
      </c>
      <c r="F447" s="51">
        <f t="shared" si="132"/>
        <v>55643.1</v>
      </c>
      <c r="G447" s="51">
        <f t="shared" si="132"/>
        <v>7003</v>
      </c>
      <c r="H447" s="51">
        <f t="shared" si="132"/>
        <v>-300</v>
      </c>
      <c r="I447" s="51">
        <f t="shared" si="132"/>
        <v>62346.1</v>
      </c>
      <c r="J447" s="51">
        <f t="shared" si="132"/>
        <v>805.2</v>
      </c>
      <c r="K447" s="51">
        <f t="shared" si="132"/>
        <v>1000</v>
      </c>
      <c r="L447" s="51">
        <f t="shared" si="132"/>
        <v>64151.299999999996</v>
      </c>
      <c r="M447" s="51">
        <f t="shared" si="132"/>
        <v>1732.1</v>
      </c>
      <c r="N447" s="51">
        <f t="shared" si="132"/>
        <v>0</v>
      </c>
      <c r="O447" s="51">
        <f t="shared" si="132"/>
        <v>65883.4</v>
      </c>
      <c r="P447" s="51">
        <f t="shared" si="132"/>
        <v>16240.8</v>
      </c>
      <c r="Q447" s="51">
        <f t="shared" si="132"/>
        <v>0</v>
      </c>
      <c r="R447" s="51">
        <f t="shared" si="132"/>
        <v>82124.2</v>
      </c>
    </row>
    <row r="448" spans="1:18" ht="12.75">
      <c r="A448" s="10" t="s">
        <v>38</v>
      </c>
      <c r="B448" s="10"/>
      <c r="C448" s="48"/>
      <c r="D448" s="48"/>
      <c r="E448" s="48"/>
      <c r="F448" s="47"/>
      <c r="G448" s="48"/>
      <c r="H448" s="48"/>
      <c r="I448" s="47"/>
      <c r="J448" s="48"/>
      <c r="K448" s="48"/>
      <c r="L448" s="47"/>
      <c r="M448" s="48"/>
      <c r="N448" s="48"/>
      <c r="O448" s="47"/>
      <c r="P448" s="75"/>
      <c r="Q448" s="75"/>
      <c r="R448" s="75"/>
    </row>
    <row r="449" spans="1:18" ht="12.75" customHeight="1">
      <c r="A449" s="8" t="s">
        <v>72</v>
      </c>
      <c r="B449" s="8"/>
      <c r="C449" s="48">
        <v>10500</v>
      </c>
      <c r="D449" s="48"/>
      <c r="E449" s="48"/>
      <c r="F449" s="48">
        <f>C449+D449+E449</f>
        <v>10500</v>
      </c>
      <c r="G449" s="48">
        <f>1500+500</f>
        <v>2000</v>
      </c>
      <c r="H449" s="48">
        <v>-300</v>
      </c>
      <c r="I449" s="48">
        <f aca="true" t="shared" si="133" ref="I449:I459">F449+G449+H449</f>
        <v>12200</v>
      </c>
      <c r="J449" s="48">
        <f>1000-444.8-500+150</f>
        <v>205.20000000000005</v>
      </c>
      <c r="K449" s="48"/>
      <c r="L449" s="48">
        <f>I449+J449+K449</f>
        <v>12405.2</v>
      </c>
      <c r="M449" s="48">
        <f>-1140+2250+105.1</f>
        <v>1215.1</v>
      </c>
      <c r="N449" s="48"/>
      <c r="O449" s="48">
        <f>L449+M449+N449</f>
        <v>13620.300000000001</v>
      </c>
      <c r="P449" s="75">
        <f>-4200-437.5-390+1000</f>
        <v>-4027.5</v>
      </c>
      <c r="Q449" s="75"/>
      <c r="R449" s="75">
        <f>O449+P449+Q449</f>
        <v>9592.800000000001</v>
      </c>
    </row>
    <row r="450" spans="1:18" ht="12.75" hidden="1">
      <c r="A450" s="8" t="s">
        <v>136</v>
      </c>
      <c r="B450" s="8"/>
      <c r="C450" s="48"/>
      <c r="D450" s="48"/>
      <c r="E450" s="48"/>
      <c r="F450" s="48">
        <f aca="true" t="shared" si="134" ref="F450:F459">C450+D450+E450</f>
        <v>0</v>
      </c>
      <c r="G450" s="48"/>
      <c r="H450" s="48"/>
      <c r="I450" s="48">
        <f t="shared" si="133"/>
        <v>0</v>
      </c>
      <c r="J450" s="48"/>
      <c r="K450" s="48"/>
      <c r="L450" s="48">
        <f>I450+J450+K450</f>
        <v>0</v>
      </c>
      <c r="M450" s="48"/>
      <c r="N450" s="48"/>
      <c r="O450" s="48">
        <f aca="true" t="shared" si="135" ref="O450:O459">L450+M450+N450</f>
        <v>0</v>
      </c>
      <c r="P450" s="75"/>
      <c r="Q450" s="75"/>
      <c r="R450" s="75">
        <f aca="true" t="shared" si="136" ref="R450:R459">O450+P450+Q450</f>
        <v>0</v>
      </c>
    </row>
    <row r="451" spans="1:18" ht="12.75" hidden="1">
      <c r="A451" s="8" t="s">
        <v>137</v>
      </c>
      <c r="B451" s="8"/>
      <c r="C451" s="48"/>
      <c r="D451" s="48"/>
      <c r="E451" s="48"/>
      <c r="F451" s="48">
        <f t="shared" si="134"/>
        <v>0</v>
      </c>
      <c r="G451" s="48"/>
      <c r="H451" s="48"/>
      <c r="I451" s="48">
        <f t="shared" si="133"/>
        <v>0</v>
      </c>
      <c r="J451" s="48"/>
      <c r="K451" s="48"/>
      <c r="L451" s="48">
        <f>I451+J451+K451</f>
        <v>0</v>
      </c>
      <c r="M451" s="48"/>
      <c r="N451" s="48"/>
      <c r="O451" s="48">
        <f t="shared" si="135"/>
        <v>0</v>
      </c>
      <c r="P451" s="75"/>
      <c r="Q451" s="75"/>
      <c r="R451" s="75">
        <f t="shared" si="136"/>
        <v>0</v>
      </c>
    </row>
    <row r="452" spans="1:18" ht="12.75">
      <c r="A452" s="12" t="s">
        <v>257</v>
      </c>
      <c r="B452" s="12"/>
      <c r="C452" s="48"/>
      <c r="D452" s="48">
        <v>45000</v>
      </c>
      <c r="E452" s="48"/>
      <c r="F452" s="48">
        <f>C452+D452+E452</f>
        <v>45000</v>
      </c>
      <c r="G452" s="48"/>
      <c r="H452" s="48"/>
      <c r="I452" s="48">
        <f t="shared" si="133"/>
        <v>45000</v>
      </c>
      <c r="J452" s="48"/>
      <c r="K452" s="48"/>
      <c r="L452" s="48">
        <f>I452+J452+K452</f>
        <v>45000</v>
      </c>
      <c r="M452" s="48"/>
      <c r="N452" s="48"/>
      <c r="O452" s="48">
        <f t="shared" si="135"/>
        <v>45000</v>
      </c>
      <c r="P452" s="75">
        <v>4500</v>
      </c>
      <c r="Q452" s="75"/>
      <c r="R452" s="75">
        <f t="shared" si="136"/>
        <v>49500</v>
      </c>
    </row>
    <row r="453" spans="1:18" ht="12.75">
      <c r="A453" s="12" t="s">
        <v>262</v>
      </c>
      <c r="B453" s="12"/>
      <c r="C453" s="48">
        <v>4836.6</v>
      </c>
      <c r="D453" s="48">
        <v>-4836.6</v>
      </c>
      <c r="E453" s="48"/>
      <c r="F453" s="48">
        <f t="shared" si="134"/>
        <v>0</v>
      </c>
      <c r="G453" s="48"/>
      <c r="H453" s="48"/>
      <c r="I453" s="48">
        <f t="shared" si="133"/>
        <v>0</v>
      </c>
      <c r="J453" s="48"/>
      <c r="K453" s="48"/>
      <c r="L453" s="48">
        <f>I453+J453+K453</f>
        <v>0</v>
      </c>
      <c r="M453" s="48"/>
      <c r="N453" s="48"/>
      <c r="O453" s="48">
        <f t="shared" si="135"/>
        <v>0</v>
      </c>
      <c r="P453" s="75"/>
      <c r="Q453" s="75"/>
      <c r="R453" s="75">
        <f t="shared" si="136"/>
        <v>0</v>
      </c>
    </row>
    <row r="454" spans="1:18" ht="12.75">
      <c r="A454" s="8" t="s">
        <v>103</v>
      </c>
      <c r="B454" s="8"/>
      <c r="C454" s="48"/>
      <c r="D454" s="48"/>
      <c r="E454" s="48">
        <f>137.2+5.9</f>
        <v>143.1</v>
      </c>
      <c r="F454" s="48">
        <f t="shared" si="134"/>
        <v>143.1</v>
      </c>
      <c r="G454" s="48"/>
      <c r="H454" s="48"/>
      <c r="I454" s="48">
        <f t="shared" si="133"/>
        <v>143.1</v>
      </c>
      <c r="J454" s="48"/>
      <c r="K454" s="48"/>
      <c r="L454" s="48">
        <f aca="true" t="shared" si="137" ref="L454:L459">I454+J454+K454</f>
        <v>143.1</v>
      </c>
      <c r="M454" s="48"/>
      <c r="N454" s="48"/>
      <c r="O454" s="48">
        <f t="shared" si="135"/>
        <v>143.1</v>
      </c>
      <c r="P454" s="75"/>
      <c r="Q454" s="75"/>
      <c r="R454" s="75">
        <f t="shared" si="136"/>
        <v>143.1</v>
      </c>
    </row>
    <row r="455" spans="1:18" ht="12.75">
      <c r="A455" s="8" t="s">
        <v>87</v>
      </c>
      <c r="B455" s="8"/>
      <c r="C455" s="48"/>
      <c r="D455" s="48"/>
      <c r="E455" s="48"/>
      <c r="F455" s="48">
        <f t="shared" si="134"/>
        <v>0</v>
      </c>
      <c r="G455" s="48"/>
      <c r="H455" s="48"/>
      <c r="I455" s="48">
        <f t="shared" si="133"/>
        <v>0</v>
      </c>
      <c r="J455" s="55">
        <f>300+300</f>
        <v>600</v>
      </c>
      <c r="K455" s="48">
        <v>1000</v>
      </c>
      <c r="L455" s="48">
        <f t="shared" si="137"/>
        <v>1600</v>
      </c>
      <c r="M455" s="48"/>
      <c r="N455" s="48"/>
      <c r="O455" s="48">
        <f t="shared" si="135"/>
        <v>1600</v>
      </c>
      <c r="P455" s="75">
        <v>-300</v>
      </c>
      <c r="Q455" s="75"/>
      <c r="R455" s="75">
        <f t="shared" si="136"/>
        <v>1300</v>
      </c>
    </row>
    <row r="456" spans="1:18" ht="12.75" hidden="1">
      <c r="A456" s="8" t="s">
        <v>242</v>
      </c>
      <c r="B456" s="8"/>
      <c r="C456" s="48"/>
      <c r="D456" s="48"/>
      <c r="E456" s="48"/>
      <c r="F456" s="48">
        <f t="shared" si="134"/>
        <v>0</v>
      </c>
      <c r="G456" s="48"/>
      <c r="H456" s="48"/>
      <c r="I456" s="48">
        <f t="shared" si="133"/>
        <v>0</v>
      </c>
      <c r="J456" s="55"/>
      <c r="K456" s="48"/>
      <c r="L456" s="48">
        <f t="shared" si="137"/>
        <v>0</v>
      </c>
      <c r="M456" s="48"/>
      <c r="N456" s="48"/>
      <c r="O456" s="48">
        <f t="shared" si="135"/>
        <v>0</v>
      </c>
      <c r="P456" s="75"/>
      <c r="Q456" s="75"/>
      <c r="R456" s="75">
        <f t="shared" si="136"/>
        <v>0</v>
      </c>
    </row>
    <row r="457" spans="1:18" ht="12.75">
      <c r="A457" s="8" t="s">
        <v>348</v>
      </c>
      <c r="B457" s="60">
        <v>14004</v>
      </c>
      <c r="C457" s="48"/>
      <c r="D457" s="48"/>
      <c r="E457" s="48"/>
      <c r="F457" s="48">
        <f t="shared" si="134"/>
        <v>0</v>
      </c>
      <c r="G457" s="48">
        <v>5003</v>
      </c>
      <c r="H457" s="48"/>
      <c r="I457" s="48">
        <f t="shared" si="133"/>
        <v>5003</v>
      </c>
      <c r="J457" s="48"/>
      <c r="K457" s="48"/>
      <c r="L457" s="48">
        <f t="shared" si="137"/>
        <v>5003</v>
      </c>
      <c r="M457" s="48">
        <v>517</v>
      </c>
      <c r="N457" s="48"/>
      <c r="O457" s="48">
        <f t="shared" si="135"/>
        <v>5520</v>
      </c>
      <c r="P457" s="75">
        <v>10731</v>
      </c>
      <c r="Q457" s="75"/>
      <c r="R457" s="75">
        <f t="shared" si="136"/>
        <v>16251</v>
      </c>
    </row>
    <row r="458" spans="1:18" ht="12.75">
      <c r="A458" s="8" t="s">
        <v>386</v>
      </c>
      <c r="B458" s="60">
        <v>14020</v>
      </c>
      <c r="C458" s="48"/>
      <c r="D458" s="48"/>
      <c r="E458" s="48"/>
      <c r="F458" s="48">
        <f t="shared" si="134"/>
        <v>0</v>
      </c>
      <c r="G458" s="48"/>
      <c r="H458" s="48"/>
      <c r="I458" s="48">
        <f t="shared" si="133"/>
        <v>0</v>
      </c>
      <c r="J458" s="48"/>
      <c r="K458" s="48"/>
      <c r="L458" s="48">
        <f t="shared" si="137"/>
        <v>0</v>
      </c>
      <c r="M458" s="48"/>
      <c r="N458" s="48"/>
      <c r="O458" s="48">
        <f t="shared" si="135"/>
        <v>0</v>
      </c>
      <c r="P458" s="75">
        <v>5337.3</v>
      </c>
      <c r="Q458" s="75"/>
      <c r="R458" s="75">
        <f t="shared" si="136"/>
        <v>5337.3</v>
      </c>
    </row>
    <row r="459" spans="1:18" ht="12.75" hidden="1">
      <c r="A459" s="8" t="s">
        <v>89</v>
      </c>
      <c r="B459" s="8"/>
      <c r="C459" s="48"/>
      <c r="D459" s="48"/>
      <c r="E459" s="48"/>
      <c r="F459" s="48">
        <f t="shared" si="134"/>
        <v>0</v>
      </c>
      <c r="G459" s="48"/>
      <c r="H459" s="48"/>
      <c r="I459" s="48">
        <f t="shared" si="133"/>
        <v>0</v>
      </c>
      <c r="J459" s="48"/>
      <c r="K459" s="48"/>
      <c r="L459" s="48">
        <f t="shared" si="137"/>
        <v>0</v>
      </c>
      <c r="M459" s="48"/>
      <c r="N459" s="48"/>
      <c r="O459" s="48">
        <f t="shared" si="135"/>
        <v>0</v>
      </c>
      <c r="P459" s="75"/>
      <c r="Q459" s="75"/>
      <c r="R459" s="75">
        <f t="shared" si="136"/>
        <v>0</v>
      </c>
    </row>
    <row r="460" spans="1:18" ht="12.75">
      <c r="A460" s="14" t="s">
        <v>75</v>
      </c>
      <c r="B460" s="14"/>
      <c r="C460" s="51">
        <f aca="true" t="shared" si="138" ref="C460:R460">SUM(C462:C468)</f>
        <v>4530.4</v>
      </c>
      <c r="D460" s="51">
        <f t="shared" si="138"/>
        <v>-4530.4</v>
      </c>
      <c r="E460" s="51">
        <f t="shared" si="138"/>
        <v>0</v>
      </c>
      <c r="F460" s="51">
        <f t="shared" si="138"/>
        <v>0</v>
      </c>
      <c r="G460" s="51">
        <f t="shared" si="138"/>
        <v>2000</v>
      </c>
      <c r="H460" s="51">
        <f t="shared" si="138"/>
        <v>300</v>
      </c>
      <c r="I460" s="51">
        <f t="shared" si="138"/>
        <v>2300</v>
      </c>
      <c r="J460" s="51">
        <f t="shared" si="138"/>
        <v>1450</v>
      </c>
      <c r="K460" s="51">
        <f t="shared" si="138"/>
        <v>0</v>
      </c>
      <c r="L460" s="51">
        <f t="shared" si="138"/>
        <v>3750</v>
      </c>
      <c r="M460" s="51">
        <f t="shared" si="138"/>
        <v>0</v>
      </c>
      <c r="N460" s="51">
        <f t="shared" si="138"/>
        <v>0</v>
      </c>
      <c r="O460" s="51">
        <f t="shared" si="138"/>
        <v>3750</v>
      </c>
      <c r="P460" s="51">
        <f t="shared" si="138"/>
        <v>5537.5</v>
      </c>
      <c r="Q460" s="51">
        <f t="shared" si="138"/>
        <v>0</v>
      </c>
      <c r="R460" s="51">
        <f t="shared" si="138"/>
        <v>9287.5</v>
      </c>
    </row>
    <row r="461" spans="1:18" ht="12.75">
      <c r="A461" s="10" t="s">
        <v>38</v>
      </c>
      <c r="B461" s="10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75"/>
      <c r="Q461" s="75"/>
      <c r="R461" s="75"/>
    </row>
    <row r="462" spans="1:18" ht="12.75">
      <c r="A462" s="12" t="s">
        <v>315</v>
      </c>
      <c r="B462" s="12"/>
      <c r="C462" s="48"/>
      <c r="D462" s="48"/>
      <c r="E462" s="48"/>
      <c r="F462" s="48">
        <f>C462+D462+E462</f>
        <v>0</v>
      </c>
      <c r="G462" s="48">
        <v>500</v>
      </c>
      <c r="H462" s="48"/>
      <c r="I462" s="48">
        <f aca="true" t="shared" si="139" ref="I462:I468">F462+G462+H462</f>
        <v>500</v>
      </c>
      <c r="J462" s="48">
        <f>250+200</f>
        <v>450</v>
      </c>
      <c r="K462" s="48"/>
      <c r="L462" s="48">
        <f aca="true" t="shared" si="140" ref="L462:L468">I462+J462+K462</f>
        <v>950</v>
      </c>
      <c r="M462" s="48"/>
      <c r="N462" s="48"/>
      <c r="O462" s="48">
        <f aca="true" t="shared" si="141" ref="O462:O468">L462+M462+N462</f>
        <v>950</v>
      </c>
      <c r="P462" s="75">
        <f>300+4200+100</f>
        <v>4600</v>
      </c>
      <c r="Q462" s="75"/>
      <c r="R462" s="75">
        <f aca="true" t="shared" si="142" ref="R462:R468">O462+P462+Q462</f>
        <v>5550</v>
      </c>
    </row>
    <row r="463" spans="1:18" ht="12.75">
      <c r="A463" s="12" t="s">
        <v>390</v>
      </c>
      <c r="B463" s="12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>
        <f t="shared" si="141"/>
        <v>0</v>
      </c>
      <c r="P463" s="75">
        <v>500</v>
      </c>
      <c r="Q463" s="75"/>
      <c r="R463" s="75">
        <f t="shared" si="142"/>
        <v>500</v>
      </c>
    </row>
    <row r="464" spans="1:18" ht="12.75">
      <c r="A464" s="12" t="s">
        <v>307</v>
      </c>
      <c r="B464" s="12"/>
      <c r="C464" s="48"/>
      <c r="D464" s="48"/>
      <c r="E464" s="48"/>
      <c r="F464" s="48"/>
      <c r="G464" s="48"/>
      <c r="H464" s="48"/>
      <c r="I464" s="48">
        <f t="shared" si="139"/>
        <v>0</v>
      </c>
      <c r="J464" s="48">
        <v>1000</v>
      </c>
      <c r="K464" s="48"/>
      <c r="L464" s="48">
        <f t="shared" si="140"/>
        <v>1000</v>
      </c>
      <c r="M464" s="48"/>
      <c r="N464" s="48"/>
      <c r="O464" s="48">
        <f t="shared" si="141"/>
        <v>1000</v>
      </c>
      <c r="P464" s="75"/>
      <c r="Q464" s="75"/>
      <c r="R464" s="75">
        <f t="shared" si="142"/>
        <v>1000</v>
      </c>
    </row>
    <row r="465" spans="1:18" ht="12.75">
      <c r="A465" s="12" t="s">
        <v>316</v>
      </c>
      <c r="B465" s="12"/>
      <c r="C465" s="48"/>
      <c r="D465" s="48"/>
      <c r="E465" s="48"/>
      <c r="F465" s="48"/>
      <c r="G465" s="48"/>
      <c r="H465" s="48">
        <v>300</v>
      </c>
      <c r="I465" s="48">
        <f t="shared" si="139"/>
        <v>300</v>
      </c>
      <c r="J465" s="48"/>
      <c r="K465" s="48"/>
      <c r="L465" s="48">
        <f t="shared" si="140"/>
        <v>300</v>
      </c>
      <c r="M465" s="48"/>
      <c r="N465" s="48"/>
      <c r="O465" s="48">
        <f t="shared" si="141"/>
        <v>300</v>
      </c>
      <c r="P465" s="75"/>
      <c r="Q465" s="75"/>
      <c r="R465" s="75">
        <f t="shared" si="142"/>
        <v>300</v>
      </c>
    </row>
    <row r="466" spans="1:18" ht="12.75">
      <c r="A466" s="8" t="s">
        <v>76</v>
      </c>
      <c r="B466" s="8"/>
      <c r="C466" s="48"/>
      <c r="D466" s="48"/>
      <c r="E466" s="48"/>
      <c r="F466" s="48">
        <f>C466+D466+E466</f>
        <v>0</v>
      </c>
      <c r="G466" s="48"/>
      <c r="H466" s="48"/>
      <c r="I466" s="48">
        <f t="shared" si="139"/>
        <v>0</v>
      </c>
      <c r="J466" s="48"/>
      <c r="K466" s="48"/>
      <c r="L466" s="48">
        <f t="shared" si="140"/>
        <v>0</v>
      </c>
      <c r="M466" s="48"/>
      <c r="N466" s="48"/>
      <c r="O466" s="48">
        <f t="shared" si="141"/>
        <v>0</v>
      </c>
      <c r="P466" s="75">
        <f>437.5</f>
        <v>437.5</v>
      </c>
      <c r="Q466" s="75"/>
      <c r="R466" s="75">
        <f t="shared" si="142"/>
        <v>437.5</v>
      </c>
    </row>
    <row r="467" spans="1:18" ht="12.75">
      <c r="A467" s="8" t="s">
        <v>103</v>
      </c>
      <c r="B467" s="8"/>
      <c r="C467" s="48"/>
      <c r="D467" s="48"/>
      <c r="E467" s="48"/>
      <c r="F467" s="48">
        <f>C467+D467+E467</f>
        <v>0</v>
      </c>
      <c r="G467" s="48">
        <v>1500</v>
      </c>
      <c r="H467" s="48"/>
      <c r="I467" s="48">
        <f t="shared" si="139"/>
        <v>1500</v>
      </c>
      <c r="J467" s="48"/>
      <c r="K467" s="48"/>
      <c r="L467" s="48">
        <f t="shared" si="140"/>
        <v>1500</v>
      </c>
      <c r="M467" s="48"/>
      <c r="N467" s="48"/>
      <c r="O467" s="48">
        <f t="shared" si="141"/>
        <v>1500</v>
      </c>
      <c r="P467" s="75"/>
      <c r="Q467" s="75"/>
      <c r="R467" s="75">
        <f t="shared" si="142"/>
        <v>1500</v>
      </c>
    </row>
    <row r="468" spans="1:18" ht="12.75">
      <c r="A468" s="18" t="s">
        <v>263</v>
      </c>
      <c r="B468" s="18"/>
      <c r="C468" s="52">
        <v>4530.4</v>
      </c>
      <c r="D468" s="52">
        <v>-4530.4</v>
      </c>
      <c r="E468" s="52"/>
      <c r="F468" s="52">
        <f>C468+D468+E468</f>
        <v>0</v>
      </c>
      <c r="G468" s="52"/>
      <c r="H468" s="52"/>
      <c r="I468" s="52">
        <f t="shared" si="139"/>
        <v>0</v>
      </c>
      <c r="J468" s="52"/>
      <c r="K468" s="52"/>
      <c r="L468" s="52">
        <f t="shared" si="140"/>
        <v>0</v>
      </c>
      <c r="M468" s="52"/>
      <c r="N468" s="52"/>
      <c r="O468" s="52">
        <f t="shared" si="141"/>
        <v>0</v>
      </c>
      <c r="P468" s="85"/>
      <c r="Q468" s="85"/>
      <c r="R468" s="85">
        <f t="shared" si="142"/>
        <v>0</v>
      </c>
    </row>
    <row r="469" spans="1:18" ht="12.75">
      <c r="A469" s="5" t="s">
        <v>138</v>
      </c>
      <c r="B469" s="5"/>
      <c r="C469" s="47">
        <f aca="true" t="shared" si="143" ref="C469:O469">C470+C473</f>
        <v>2105.5</v>
      </c>
      <c r="D469" s="47">
        <f t="shared" si="143"/>
        <v>0</v>
      </c>
      <c r="E469" s="47">
        <f t="shared" si="143"/>
        <v>0</v>
      </c>
      <c r="F469" s="47">
        <f t="shared" si="143"/>
        <v>2105.5</v>
      </c>
      <c r="G469" s="47">
        <f t="shared" si="143"/>
        <v>0</v>
      </c>
      <c r="H469" s="47">
        <f t="shared" si="143"/>
        <v>0</v>
      </c>
      <c r="I469" s="47">
        <f t="shared" si="143"/>
        <v>2105.5</v>
      </c>
      <c r="J469" s="47">
        <f t="shared" si="143"/>
        <v>0</v>
      </c>
      <c r="K469" s="47">
        <f t="shared" si="143"/>
        <v>0</v>
      </c>
      <c r="L469" s="47">
        <f t="shared" si="143"/>
        <v>2105.5</v>
      </c>
      <c r="M469" s="47">
        <f t="shared" si="143"/>
        <v>346.1</v>
      </c>
      <c r="N469" s="47">
        <f t="shared" si="143"/>
        <v>0</v>
      </c>
      <c r="O469" s="47">
        <f t="shared" si="143"/>
        <v>2451.6</v>
      </c>
      <c r="P469" s="47">
        <f>P470+P473</f>
        <v>0</v>
      </c>
      <c r="Q469" s="47">
        <f>Q470+Q473</f>
        <v>0</v>
      </c>
      <c r="R469" s="47">
        <f>R470+R473</f>
        <v>2451.6</v>
      </c>
    </row>
    <row r="470" spans="1:18" ht="12.75">
      <c r="A470" s="14" t="s">
        <v>69</v>
      </c>
      <c r="B470" s="14"/>
      <c r="C470" s="51">
        <f aca="true" t="shared" si="144" ref="C470:O470">SUM(C472:C472)</f>
        <v>2105.5</v>
      </c>
      <c r="D470" s="51">
        <f t="shared" si="144"/>
        <v>0</v>
      </c>
      <c r="E470" s="51">
        <f t="shared" si="144"/>
        <v>0</v>
      </c>
      <c r="F470" s="51">
        <f t="shared" si="144"/>
        <v>2105.5</v>
      </c>
      <c r="G470" s="51">
        <f t="shared" si="144"/>
        <v>0</v>
      </c>
      <c r="H470" s="51">
        <f t="shared" si="144"/>
        <v>0</v>
      </c>
      <c r="I470" s="51">
        <f t="shared" si="144"/>
        <v>2105.5</v>
      </c>
      <c r="J470" s="51">
        <f t="shared" si="144"/>
        <v>0</v>
      </c>
      <c r="K470" s="51">
        <f t="shared" si="144"/>
        <v>0</v>
      </c>
      <c r="L470" s="51">
        <f t="shared" si="144"/>
        <v>2105.5</v>
      </c>
      <c r="M470" s="51">
        <f t="shared" si="144"/>
        <v>346.1</v>
      </c>
      <c r="N470" s="51">
        <f t="shared" si="144"/>
        <v>0</v>
      </c>
      <c r="O470" s="51">
        <f t="shared" si="144"/>
        <v>2451.6</v>
      </c>
      <c r="P470" s="51">
        <f>SUM(P472:P472)</f>
        <v>0</v>
      </c>
      <c r="Q470" s="51">
        <f>SUM(Q472:Q472)</f>
        <v>0</v>
      </c>
      <c r="R470" s="51">
        <f>SUM(R472:R472)</f>
        <v>2451.6</v>
      </c>
    </row>
    <row r="471" spans="1:18" ht="12.75">
      <c r="A471" s="10" t="s">
        <v>38</v>
      </c>
      <c r="B471" s="10"/>
      <c r="C471" s="48"/>
      <c r="D471" s="48"/>
      <c r="E471" s="48"/>
      <c r="F471" s="47"/>
      <c r="G471" s="48"/>
      <c r="H471" s="48"/>
      <c r="I471" s="47"/>
      <c r="J471" s="48"/>
      <c r="K471" s="48"/>
      <c r="L471" s="47"/>
      <c r="M471" s="48"/>
      <c r="N471" s="48"/>
      <c r="O471" s="47"/>
      <c r="P471" s="75"/>
      <c r="Q471" s="75"/>
      <c r="R471" s="75"/>
    </row>
    <row r="472" spans="1:18" ht="12.75">
      <c r="A472" s="11" t="s">
        <v>72</v>
      </c>
      <c r="B472" s="11"/>
      <c r="C472" s="79">
        <v>2105.5</v>
      </c>
      <c r="D472" s="52"/>
      <c r="E472" s="52"/>
      <c r="F472" s="52">
        <f>C472+D472+E472</f>
        <v>2105.5</v>
      </c>
      <c r="G472" s="52"/>
      <c r="H472" s="52"/>
      <c r="I472" s="52">
        <f>F472+G472+H472</f>
        <v>2105.5</v>
      </c>
      <c r="J472" s="52"/>
      <c r="K472" s="52"/>
      <c r="L472" s="52">
        <f>I472+J472+K472</f>
        <v>2105.5</v>
      </c>
      <c r="M472" s="52">
        <v>346.1</v>
      </c>
      <c r="N472" s="52"/>
      <c r="O472" s="52">
        <f>L472+M472+N472</f>
        <v>2451.6</v>
      </c>
      <c r="P472" s="85"/>
      <c r="Q472" s="85"/>
      <c r="R472" s="85">
        <f>O472+P472+Q472</f>
        <v>2451.6</v>
      </c>
    </row>
    <row r="473" spans="1:18" ht="12.75" hidden="1">
      <c r="A473" s="14" t="s">
        <v>75</v>
      </c>
      <c r="B473" s="14"/>
      <c r="C473" s="51">
        <f aca="true" t="shared" si="145" ref="C473:R473">SUM(C475:C475)</f>
        <v>0</v>
      </c>
      <c r="D473" s="51">
        <f t="shared" si="145"/>
        <v>0</v>
      </c>
      <c r="E473" s="51"/>
      <c r="F473" s="51">
        <f t="shared" si="145"/>
        <v>0</v>
      </c>
      <c r="G473" s="51">
        <f t="shared" si="145"/>
        <v>0</v>
      </c>
      <c r="H473" s="51">
        <f t="shared" si="145"/>
        <v>0</v>
      </c>
      <c r="I473" s="51">
        <f t="shared" si="145"/>
        <v>0</v>
      </c>
      <c r="J473" s="51"/>
      <c r="K473" s="51"/>
      <c r="L473" s="51">
        <f t="shared" si="145"/>
        <v>0</v>
      </c>
      <c r="M473" s="51">
        <f t="shared" si="145"/>
        <v>0</v>
      </c>
      <c r="N473" s="51">
        <f t="shared" si="145"/>
        <v>0</v>
      </c>
      <c r="O473" s="51">
        <f t="shared" si="145"/>
        <v>0</v>
      </c>
      <c r="P473" s="51">
        <f t="shared" si="145"/>
        <v>0</v>
      </c>
      <c r="Q473" s="51">
        <f t="shared" si="145"/>
        <v>0</v>
      </c>
      <c r="R473" s="51">
        <f t="shared" si="145"/>
        <v>0</v>
      </c>
    </row>
    <row r="474" spans="1:18" ht="12.75" hidden="1">
      <c r="A474" s="10" t="s">
        <v>38</v>
      </c>
      <c r="B474" s="10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75"/>
      <c r="Q474" s="75"/>
      <c r="R474" s="75"/>
    </row>
    <row r="475" spans="1:18" ht="12.75" hidden="1">
      <c r="A475" s="11" t="s">
        <v>76</v>
      </c>
      <c r="B475" s="11"/>
      <c r="C475" s="52"/>
      <c r="D475" s="52"/>
      <c r="E475" s="52"/>
      <c r="F475" s="52">
        <f>C475+D475+E475</f>
        <v>0</v>
      </c>
      <c r="G475" s="52"/>
      <c r="H475" s="52"/>
      <c r="I475" s="52">
        <f>F475+G475+H475</f>
        <v>0</v>
      </c>
      <c r="J475" s="52"/>
      <c r="K475" s="52"/>
      <c r="L475" s="52">
        <f>I475+J475+K475</f>
        <v>0</v>
      </c>
      <c r="M475" s="52"/>
      <c r="N475" s="52"/>
      <c r="O475" s="52">
        <f>L475+M475+N475</f>
        <v>0</v>
      </c>
      <c r="P475" s="85"/>
      <c r="Q475" s="85"/>
      <c r="R475" s="85">
        <f>O475+P475+Q475</f>
        <v>0</v>
      </c>
    </row>
    <row r="476" spans="1:18" ht="12.75">
      <c r="A476" s="5" t="s">
        <v>139</v>
      </c>
      <c r="B476" s="5"/>
      <c r="C476" s="47">
        <f aca="true" t="shared" si="146" ref="C476:R476">C477</f>
        <v>136449.1</v>
      </c>
      <c r="D476" s="47">
        <f t="shared" si="146"/>
        <v>-29000</v>
      </c>
      <c r="E476" s="47">
        <f t="shared" si="146"/>
        <v>-6673</v>
      </c>
      <c r="F476" s="47">
        <f t="shared" si="146"/>
        <v>100776.1</v>
      </c>
      <c r="G476" s="47">
        <f t="shared" si="146"/>
        <v>-12510.7</v>
      </c>
      <c r="H476" s="47">
        <f t="shared" si="146"/>
        <v>0</v>
      </c>
      <c r="I476" s="47">
        <f t="shared" si="146"/>
        <v>88265.40000000001</v>
      </c>
      <c r="J476" s="47">
        <f t="shared" si="146"/>
        <v>300</v>
      </c>
      <c r="K476" s="47">
        <f t="shared" si="146"/>
        <v>1261.6</v>
      </c>
      <c r="L476" s="47">
        <f t="shared" si="146"/>
        <v>89827</v>
      </c>
      <c r="M476" s="47">
        <f t="shared" si="146"/>
        <v>-7150</v>
      </c>
      <c r="N476" s="47">
        <f t="shared" si="146"/>
        <v>0</v>
      </c>
      <c r="O476" s="47">
        <f t="shared" si="146"/>
        <v>82677</v>
      </c>
      <c r="P476" s="47">
        <f t="shared" si="146"/>
        <v>-6207.5</v>
      </c>
      <c r="Q476" s="47">
        <f t="shared" si="146"/>
        <v>0</v>
      </c>
      <c r="R476" s="47">
        <f t="shared" si="146"/>
        <v>76469.5</v>
      </c>
    </row>
    <row r="477" spans="1:18" ht="12.75">
      <c r="A477" s="14" t="s">
        <v>69</v>
      </c>
      <c r="B477" s="14"/>
      <c r="C477" s="51">
        <f aca="true" t="shared" si="147" ref="C477:O477">SUM(C479:C482)</f>
        <v>136449.1</v>
      </c>
      <c r="D477" s="51">
        <f t="shared" si="147"/>
        <v>-29000</v>
      </c>
      <c r="E477" s="51">
        <f t="shared" si="147"/>
        <v>-6673</v>
      </c>
      <c r="F477" s="51">
        <f t="shared" si="147"/>
        <v>100776.1</v>
      </c>
      <c r="G477" s="51">
        <f t="shared" si="147"/>
        <v>-12510.7</v>
      </c>
      <c r="H477" s="51">
        <f t="shared" si="147"/>
        <v>0</v>
      </c>
      <c r="I477" s="51">
        <f t="shared" si="147"/>
        <v>88265.40000000001</v>
      </c>
      <c r="J477" s="51">
        <f t="shared" si="147"/>
        <v>300</v>
      </c>
      <c r="K477" s="51">
        <f t="shared" si="147"/>
        <v>1261.6</v>
      </c>
      <c r="L477" s="51">
        <f t="shared" si="147"/>
        <v>89827</v>
      </c>
      <c r="M477" s="51">
        <f t="shared" si="147"/>
        <v>-7150</v>
      </c>
      <c r="N477" s="51">
        <f t="shared" si="147"/>
        <v>0</v>
      </c>
      <c r="O477" s="51">
        <f t="shared" si="147"/>
        <v>82677</v>
      </c>
      <c r="P477" s="51">
        <f>SUM(P479:P482)</f>
        <v>-6207.5</v>
      </c>
      <c r="Q477" s="51">
        <f>SUM(Q479:Q482)</f>
        <v>0</v>
      </c>
      <c r="R477" s="51">
        <f>SUM(R479:R482)</f>
        <v>76469.5</v>
      </c>
    </row>
    <row r="478" spans="1:18" ht="12.75">
      <c r="A478" s="10" t="s">
        <v>38</v>
      </c>
      <c r="B478" s="10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75"/>
      <c r="Q478" s="75"/>
      <c r="R478" s="75"/>
    </row>
    <row r="479" spans="1:18" ht="12.75">
      <c r="A479" s="17" t="s">
        <v>294</v>
      </c>
      <c r="B479" s="17"/>
      <c r="C479" s="48">
        <v>80000</v>
      </c>
      <c r="D479" s="48">
        <v>-29000</v>
      </c>
      <c r="E479" s="48">
        <v>-6673</v>
      </c>
      <c r="F479" s="48">
        <f>C479+D479+E479</f>
        <v>44327</v>
      </c>
      <c r="G479" s="48">
        <f>-20000-21997.6-2000</f>
        <v>-43997.6</v>
      </c>
      <c r="H479" s="48"/>
      <c r="I479" s="48">
        <f>F479+G479+H479</f>
        <v>329.40000000000146</v>
      </c>
      <c r="J479" s="55"/>
      <c r="K479" s="48"/>
      <c r="L479" s="48">
        <f>I479+J479+K479</f>
        <v>329.40000000000146</v>
      </c>
      <c r="M479" s="48"/>
      <c r="N479" s="48"/>
      <c r="O479" s="48">
        <f>L479+M479+N479</f>
        <v>329.40000000000146</v>
      </c>
      <c r="P479" s="75"/>
      <c r="Q479" s="75"/>
      <c r="R479" s="75">
        <f>O479+P479+Q479</f>
        <v>329.40000000000146</v>
      </c>
    </row>
    <row r="480" spans="1:18" ht="12.75">
      <c r="A480" s="17" t="s">
        <v>140</v>
      </c>
      <c r="B480" s="17"/>
      <c r="C480" s="48"/>
      <c r="D480" s="48"/>
      <c r="E480" s="48"/>
      <c r="F480" s="48">
        <f>C480+D480+E480</f>
        <v>0</v>
      </c>
      <c r="G480" s="48">
        <v>21481.1</v>
      </c>
      <c r="H480" s="48"/>
      <c r="I480" s="48">
        <f>F480+G480+H480</f>
        <v>21481.1</v>
      </c>
      <c r="J480" s="48"/>
      <c r="K480" s="48"/>
      <c r="L480" s="48">
        <f>I480+J480+K480</f>
        <v>21481.1</v>
      </c>
      <c r="M480" s="48"/>
      <c r="N480" s="48"/>
      <c r="O480" s="48">
        <f>L480+M480+N480</f>
        <v>21481.1</v>
      </c>
      <c r="P480" s="75"/>
      <c r="Q480" s="75"/>
      <c r="R480" s="75">
        <f>O480+P480+Q480</f>
        <v>21481.1</v>
      </c>
    </row>
    <row r="481" spans="1:18" ht="12.75">
      <c r="A481" s="17" t="s">
        <v>141</v>
      </c>
      <c r="B481" s="17"/>
      <c r="C481" s="48"/>
      <c r="D481" s="48"/>
      <c r="E481" s="48"/>
      <c r="F481" s="48">
        <f>C481+D481+E481</f>
        <v>0</v>
      </c>
      <c r="G481" s="48">
        <v>5.8</v>
      </c>
      <c r="H481" s="48"/>
      <c r="I481" s="48">
        <f>F481+G481+H481</f>
        <v>5.8</v>
      </c>
      <c r="J481" s="48"/>
      <c r="K481" s="48">
        <v>1261.6</v>
      </c>
      <c r="L481" s="48">
        <f>I481+J481+K481</f>
        <v>1267.3999999999999</v>
      </c>
      <c r="M481" s="48"/>
      <c r="N481" s="48"/>
      <c r="O481" s="48">
        <f>L481+M481+N481</f>
        <v>1267.3999999999999</v>
      </c>
      <c r="P481" s="75"/>
      <c r="Q481" s="75"/>
      <c r="R481" s="75">
        <f>O481+P481+Q481</f>
        <v>1267.3999999999999</v>
      </c>
    </row>
    <row r="482" spans="1:18" ht="12.75">
      <c r="A482" s="11" t="s">
        <v>72</v>
      </c>
      <c r="B482" s="11"/>
      <c r="C482" s="52">
        <v>56449.1</v>
      </c>
      <c r="D482" s="52"/>
      <c r="E482" s="52"/>
      <c r="F482" s="52">
        <f>C482+D482+E482</f>
        <v>56449.1</v>
      </c>
      <c r="G482" s="52">
        <v>10000</v>
      </c>
      <c r="H482" s="52"/>
      <c r="I482" s="52">
        <f>F482+G482+H482</f>
        <v>66449.1</v>
      </c>
      <c r="J482" s="52">
        <v>300</v>
      </c>
      <c r="K482" s="52"/>
      <c r="L482" s="52">
        <f>I482+J482+K482</f>
        <v>66749.1</v>
      </c>
      <c r="M482" s="52">
        <f>-130-5500-1000-120-200-200</f>
        <v>-7150</v>
      </c>
      <c r="N482" s="52"/>
      <c r="O482" s="52">
        <f>L482+M482+N482</f>
        <v>59599.100000000006</v>
      </c>
      <c r="P482" s="85">
        <f>-500-181.5-4500-26-1000</f>
        <v>-6207.5</v>
      </c>
      <c r="Q482" s="85"/>
      <c r="R482" s="85">
        <f>O482+P482+Q482</f>
        <v>53391.600000000006</v>
      </c>
    </row>
    <row r="483" spans="1:18" ht="12.75">
      <c r="A483" s="5" t="s">
        <v>256</v>
      </c>
      <c r="B483" s="5"/>
      <c r="C483" s="47">
        <f aca="true" t="shared" si="148" ref="C483:O483">C484+C493</f>
        <v>44644.399999999994</v>
      </c>
      <c r="D483" s="47">
        <f t="shared" si="148"/>
        <v>-3000</v>
      </c>
      <c r="E483" s="47">
        <f t="shared" si="148"/>
        <v>0</v>
      </c>
      <c r="F483" s="47">
        <f t="shared" si="148"/>
        <v>41644.399999999994</v>
      </c>
      <c r="G483" s="47">
        <f t="shared" si="148"/>
        <v>12500</v>
      </c>
      <c r="H483" s="47">
        <f t="shared" si="148"/>
        <v>1250</v>
      </c>
      <c r="I483" s="47">
        <f t="shared" si="148"/>
        <v>55394.4</v>
      </c>
      <c r="J483" s="47">
        <f t="shared" si="148"/>
        <v>244.79999999999995</v>
      </c>
      <c r="K483" s="47">
        <f t="shared" si="148"/>
        <v>0</v>
      </c>
      <c r="L483" s="47">
        <f t="shared" si="148"/>
        <v>55639.2</v>
      </c>
      <c r="M483" s="47">
        <f t="shared" si="148"/>
        <v>-890</v>
      </c>
      <c r="N483" s="47">
        <f t="shared" si="148"/>
        <v>2250</v>
      </c>
      <c r="O483" s="47">
        <f t="shared" si="148"/>
        <v>56999.2</v>
      </c>
      <c r="P483" s="47">
        <f>P484+P493</f>
        <v>390</v>
      </c>
      <c r="Q483" s="47">
        <f>Q484+Q493</f>
        <v>0</v>
      </c>
      <c r="R483" s="47">
        <f>R484+R493</f>
        <v>57389.2</v>
      </c>
    </row>
    <row r="484" spans="1:18" ht="12.75">
      <c r="A484" s="14" t="s">
        <v>69</v>
      </c>
      <c r="B484" s="14"/>
      <c r="C484" s="51">
        <f>SUM(C485:C492)</f>
        <v>37644.399999999994</v>
      </c>
      <c r="D484" s="51">
        <f aca="true" t="shared" si="149" ref="D484:O484">SUM(D485:D492)</f>
        <v>-3000</v>
      </c>
      <c r="E484" s="51">
        <f t="shared" si="149"/>
        <v>0</v>
      </c>
      <c r="F484" s="51">
        <f t="shared" si="149"/>
        <v>34644.399999999994</v>
      </c>
      <c r="G484" s="51">
        <f t="shared" si="149"/>
        <v>8000</v>
      </c>
      <c r="H484" s="51">
        <f t="shared" si="149"/>
        <v>3250</v>
      </c>
      <c r="I484" s="51">
        <f t="shared" si="149"/>
        <v>45894.4</v>
      </c>
      <c r="J484" s="51">
        <f t="shared" si="149"/>
        <v>-1045.8</v>
      </c>
      <c r="K484" s="51">
        <f t="shared" si="149"/>
        <v>-2140.4</v>
      </c>
      <c r="L484" s="51">
        <f t="shared" si="149"/>
        <v>42708.2</v>
      </c>
      <c r="M484" s="51">
        <f t="shared" si="149"/>
        <v>-1156.6</v>
      </c>
      <c r="N484" s="51">
        <f t="shared" si="149"/>
        <v>2250</v>
      </c>
      <c r="O484" s="51">
        <f t="shared" si="149"/>
        <v>43801.6</v>
      </c>
      <c r="P484" s="51">
        <f>SUM(P485:P492)</f>
        <v>-540</v>
      </c>
      <c r="Q484" s="51">
        <f>SUM(Q485:Q492)</f>
        <v>0</v>
      </c>
      <c r="R484" s="51">
        <f>SUM(R485:R492)</f>
        <v>43261.6</v>
      </c>
    </row>
    <row r="485" spans="1:18" ht="12.75">
      <c r="A485" s="8" t="s">
        <v>317</v>
      </c>
      <c r="B485" s="8"/>
      <c r="C485" s="48">
        <v>5248.6</v>
      </c>
      <c r="D485" s="48"/>
      <c r="E485" s="48"/>
      <c r="F485" s="48">
        <f aca="true" t="shared" si="150" ref="F485:F491">C485+D485+E485</f>
        <v>5248.6</v>
      </c>
      <c r="G485" s="48"/>
      <c r="H485" s="48"/>
      <c r="I485" s="48">
        <f aca="true" t="shared" si="151" ref="I485:I491">F485+G485+H485</f>
        <v>5248.6</v>
      </c>
      <c r="J485" s="48">
        <v>-1853.6</v>
      </c>
      <c r="K485" s="48"/>
      <c r="L485" s="48">
        <f>I485+J485+K485</f>
        <v>3395.0000000000005</v>
      </c>
      <c r="M485" s="48"/>
      <c r="N485" s="48"/>
      <c r="O485" s="48">
        <f>L485+M485+N485</f>
        <v>3395.0000000000005</v>
      </c>
      <c r="P485" s="75"/>
      <c r="Q485" s="75"/>
      <c r="R485" s="75">
        <f aca="true" t="shared" si="152" ref="R485:R496">O485+P485+Q485</f>
        <v>3395.0000000000005</v>
      </c>
    </row>
    <row r="486" spans="1:18" ht="12.75">
      <c r="A486" s="8" t="s">
        <v>318</v>
      </c>
      <c r="B486" s="8"/>
      <c r="C486" s="48">
        <v>4496.2</v>
      </c>
      <c r="D486" s="48"/>
      <c r="E486" s="48"/>
      <c r="F486" s="48">
        <f t="shared" si="150"/>
        <v>4496.2</v>
      </c>
      <c r="G486" s="48">
        <v>2500</v>
      </c>
      <c r="H486" s="48">
        <v>1250</v>
      </c>
      <c r="I486" s="48">
        <f t="shared" si="151"/>
        <v>8246.2</v>
      </c>
      <c r="J486" s="48">
        <v>400</v>
      </c>
      <c r="K486" s="48"/>
      <c r="L486" s="48">
        <f aca="true" t="shared" si="153" ref="L486:L492">I486+J486+K486</f>
        <v>8646.2</v>
      </c>
      <c r="M486" s="48"/>
      <c r="N486" s="48"/>
      <c r="O486" s="48">
        <f aca="true" t="shared" si="154" ref="O486:O496">L486+M486+N486</f>
        <v>8646.2</v>
      </c>
      <c r="P486" s="75"/>
      <c r="Q486" s="75"/>
      <c r="R486" s="75">
        <f t="shared" si="152"/>
        <v>8646.2</v>
      </c>
    </row>
    <row r="487" spans="1:18" ht="12.75">
      <c r="A487" s="8" t="s">
        <v>319</v>
      </c>
      <c r="B487" s="8"/>
      <c r="C487" s="48">
        <v>2604</v>
      </c>
      <c r="D487" s="55"/>
      <c r="E487" s="48"/>
      <c r="F487" s="48">
        <f t="shared" si="150"/>
        <v>2604</v>
      </c>
      <c r="G487" s="48"/>
      <c r="H487" s="48"/>
      <c r="I487" s="48">
        <f t="shared" si="151"/>
        <v>2604</v>
      </c>
      <c r="J487" s="48">
        <v>-600</v>
      </c>
      <c r="K487" s="48"/>
      <c r="L487" s="48">
        <f t="shared" si="153"/>
        <v>2004</v>
      </c>
      <c r="M487" s="48"/>
      <c r="N487" s="48"/>
      <c r="O487" s="48">
        <f t="shared" si="154"/>
        <v>2004</v>
      </c>
      <c r="P487" s="75"/>
      <c r="Q487" s="75"/>
      <c r="R487" s="75">
        <f t="shared" si="152"/>
        <v>2004</v>
      </c>
    </row>
    <row r="488" spans="1:18" ht="12.75">
      <c r="A488" s="8" t="s">
        <v>320</v>
      </c>
      <c r="B488" s="8"/>
      <c r="C488" s="48">
        <v>1395.9</v>
      </c>
      <c r="D488" s="48"/>
      <c r="E488" s="48"/>
      <c r="F488" s="48">
        <f t="shared" si="150"/>
        <v>1395.9</v>
      </c>
      <c r="G488" s="48"/>
      <c r="H488" s="48"/>
      <c r="I488" s="48">
        <f t="shared" si="151"/>
        <v>1395.9</v>
      </c>
      <c r="J488" s="48"/>
      <c r="K488" s="48"/>
      <c r="L488" s="48">
        <f t="shared" si="153"/>
        <v>1395.9</v>
      </c>
      <c r="M488" s="48"/>
      <c r="N488" s="48"/>
      <c r="O488" s="48">
        <f t="shared" si="154"/>
        <v>1395.9</v>
      </c>
      <c r="P488" s="75"/>
      <c r="Q488" s="75"/>
      <c r="R488" s="75">
        <f t="shared" si="152"/>
        <v>1395.9</v>
      </c>
    </row>
    <row r="489" spans="1:18" ht="12.75">
      <c r="A489" s="8" t="s">
        <v>321</v>
      </c>
      <c r="B489" s="8"/>
      <c r="C489" s="48">
        <v>9380</v>
      </c>
      <c r="D489" s="48"/>
      <c r="E489" s="48"/>
      <c r="F489" s="48">
        <f t="shared" si="150"/>
        <v>9380</v>
      </c>
      <c r="G489" s="48"/>
      <c r="H489" s="48"/>
      <c r="I489" s="48">
        <f t="shared" si="151"/>
        <v>9380</v>
      </c>
      <c r="J489" s="48"/>
      <c r="K489" s="48"/>
      <c r="L489" s="48">
        <f t="shared" si="153"/>
        <v>9380</v>
      </c>
      <c r="M489" s="48"/>
      <c r="N489" s="48"/>
      <c r="O489" s="48">
        <f t="shared" si="154"/>
        <v>9380</v>
      </c>
      <c r="P489" s="75"/>
      <c r="Q489" s="75"/>
      <c r="R489" s="75">
        <f t="shared" si="152"/>
        <v>9380</v>
      </c>
    </row>
    <row r="490" spans="1:18" ht="12.75">
      <c r="A490" s="8" t="s">
        <v>322</v>
      </c>
      <c r="B490" s="8"/>
      <c r="C490" s="48">
        <v>6519.7</v>
      </c>
      <c r="D490" s="48">
        <v>-3000</v>
      </c>
      <c r="E490" s="48"/>
      <c r="F490" s="48">
        <f t="shared" si="150"/>
        <v>3519.7</v>
      </c>
      <c r="G490" s="48"/>
      <c r="H490" s="48"/>
      <c r="I490" s="48">
        <f t="shared" si="151"/>
        <v>3519.7</v>
      </c>
      <c r="J490" s="48">
        <v>444.8</v>
      </c>
      <c r="K490" s="48">
        <v>-2140.4</v>
      </c>
      <c r="L490" s="48">
        <f t="shared" si="153"/>
        <v>1824.1</v>
      </c>
      <c r="M490" s="48"/>
      <c r="N490" s="48"/>
      <c r="O490" s="48">
        <f t="shared" si="154"/>
        <v>1824.1</v>
      </c>
      <c r="P490" s="75"/>
      <c r="Q490" s="75"/>
      <c r="R490" s="75">
        <f t="shared" si="152"/>
        <v>1824.1</v>
      </c>
    </row>
    <row r="491" spans="1:18" ht="12.75">
      <c r="A491" s="8" t="s">
        <v>323</v>
      </c>
      <c r="B491" s="8"/>
      <c r="C491" s="48">
        <v>8000</v>
      </c>
      <c r="D491" s="48"/>
      <c r="E491" s="48"/>
      <c r="F491" s="48">
        <f t="shared" si="150"/>
        <v>8000</v>
      </c>
      <c r="G491" s="48">
        <v>5500</v>
      </c>
      <c r="H491" s="48">
        <v>2000</v>
      </c>
      <c r="I491" s="48">
        <f t="shared" si="151"/>
        <v>15500</v>
      </c>
      <c r="J491" s="48">
        <f>600-37</f>
        <v>563</v>
      </c>
      <c r="K491" s="48"/>
      <c r="L491" s="48">
        <f t="shared" si="153"/>
        <v>16063</v>
      </c>
      <c r="M491" s="48">
        <f>1073.4-2250</f>
        <v>-1176.6</v>
      </c>
      <c r="N491" s="48">
        <v>2250</v>
      </c>
      <c r="O491" s="48">
        <f t="shared" si="154"/>
        <v>17136.4</v>
      </c>
      <c r="P491" s="75">
        <v>-540</v>
      </c>
      <c r="Q491" s="75"/>
      <c r="R491" s="75">
        <f t="shared" si="152"/>
        <v>16596.4</v>
      </c>
    </row>
    <row r="492" spans="1:18" ht="12.75">
      <c r="A492" s="8" t="s">
        <v>72</v>
      </c>
      <c r="B492" s="8"/>
      <c r="C492" s="48"/>
      <c r="D492" s="48"/>
      <c r="E492" s="48"/>
      <c r="F492" s="48"/>
      <c r="G492" s="48"/>
      <c r="H492" s="48"/>
      <c r="I492" s="48"/>
      <c r="J492" s="48"/>
      <c r="K492" s="48"/>
      <c r="L492" s="48">
        <f t="shared" si="153"/>
        <v>0</v>
      </c>
      <c r="M492" s="48">
        <v>20</v>
      </c>
      <c r="N492" s="48"/>
      <c r="O492" s="48">
        <f t="shared" si="154"/>
        <v>20</v>
      </c>
      <c r="P492" s="75"/>
      <c r="Q492" s="75"/>
      <c r="R492" s="75">
        <f t="shared" si="152"/>
        <v>20</v>
      </c>
    </row>
    <row r="493" spans="1:18" ht="12.75">
      <c r="A493" s="14" t="s">
        <v>75</v>
      </c>
      <c r="B493" s="14"/>
      <c r="C493" s="51">
        <f>SUM(C494:C496)</f>
        <v>7000</v>
      </c>
      <c r="D493" s="51">
        <f aca="true" t="shared" si="155" ref="D493:R493">SUM(D494:D496)</f>
        <v>0</v>
      </c>
      <c r="E493" s="51">
        <f t="shared" si="155"/>
        <v>0</v>
      </c>
      <c r="F493" s="51">
        <f t="shared" si="155"/>
        <v>7000</v>
      </c>
      <c r="G493" s="51">
        <f t="shared" si="155"/>
        <v>4500</v>
      </c>
      <c r="H493" s="51">
        <f t="shared" si="155"/>
        <v>-2000</v>
      </c>
      <c r="I493" s="51">
        <f t="shared" si="155"/>
        <v>9500</v>
      </c>
      <c r="J493" s="51">
        <f t="shared" si="155"/>
        <v>1290.6</v>
      </c>
      <c r="K493" s="51">
        <f t="shared" si="155"/>
        <v>2140.4</v>
      </c>
      <c r="L493" s="51">
        <f t="shared" si="155"/>
        <v>12931</v>
      </c>
      <c r="M493" s="51">
        <f t="shared" si="155"/>
        <v>266.5999999999999</v>
      </c>
      <c r="N493" s="51">
        <f t="shared" si="155"/>
        <v>0</v>
      </c>
      <c r="O493" s="51">
        <f t="shared" si="155"/>
        <v>13197.6</v>
      </c>
      <c r="P493" s="51">
        <f t="shared" si="155"/>
        <v>930</v>
      </c>
      <c r="Q493" s="51">
        <f t="shared" si="155"/>
        <v>0</v>
      </c>
      <c r="R493" s="51">
        <f t="shared" si="155"/>
        <v>14127.6</v>
      </c>
    </row>
    <row r="494" spans="1:18" ht="12.75">
      <c r="A494" s="8" t="s">
        <v>317</v>
      </c>
      <c r="B494" s="10"/>
      <c r="C494" s="48"/>
      <c r="D494" s="48"/>
      <c r="E494" s="48"/>
      <c r="F494" s="48"/>
      <c r="G494" s="48"/>
      <c r="H494" s="48"/>
      <c r="I494" s="48">
        <f>F494+G494+H494</f>
        <v>0</v>
      </c>
      <c r="J494" s="48">
        <v>1853.6</v>
      </c>
      <c r="K494" s="48"/>
      <c r="L494" s="48">
        <f>I494+J494+K494</f>
        <v>1853.6</v>
      </c>
      <c r="M494" s="48"/>
      <c r="N494" s="48"/>
      <c r="O494" s="48">
        <f t="shared" si="154"/>
        <v>1853.6</v>
      </c>
      <c r="P494" s="75"/>
      <c r="Q494" s="75"/>
      <c r="R494" s="75">
        <f t="shared" si="152"/>
        <v>1853.6</v>
      </c>
    </row>
    <row r="495" spans="1:18" ht="12.75">
      <c r="A495" s="8" t="s">
        <v>322</v>
      </c>
      <c r="B495" s="10"/>
      <c r="C495" s="48"/>
      <c r="D495" s="48"/>
      <c r="E495" s="48"/>
      <c r="F495" s="48"/>
      <c r="G495" s="48"/>
      <c r="H495" s="48"/>
      <c r="I495" s="48"/>
      <c r="J495" s="48"/>
      <c r="K495" s="48">
        <v>2140.4</v>
      </c>
      <c r="L495" s="48">
        <f>I495+J495+K495</f>
        <v>2140.4</v>
      </c>
      <c r="M495" s="48"/>
      <c r="N495" s="48"/>
      <c r="O495" s="48">
        <f t="shared" si="154"/>
        <v>2140.4</v>
      </c>
      <c r="P495" s="75"/>
      <c r="Q495" s="75"/>
      <c r="R495" s="75">
        <f t="shared" si="152"/>
        <v>2140.4</v>
      </c>
    </row>
    <row r="496" spans="1:18" ht="12.75">
      <c r="A496" s="11" t="s">
        <v>323</v>
      </c>
      <c r="B496" s="11"/>
      <c r="C496" s="56">
        <v>7000</v>
      </c>
      <c r="D496" s="52"/>
      <c r="E496" s="52"/>
      <c r="F496" s="52">
        <f>C496+D496+E496</f>
        <v>7000</v>
      </c>
      <c r="G496" s="52">
        <v>4500</v>
      </c>
      <c r="H496" s="56">
        <v>-2000</v>
      </c>
      <c r="I496" s="52">
        <f>F496+G496+H496</f>
        <v>9500</v>
      </c>
      <c r="J496" s="52">
        <f>-600+37</f>
        <v>-563</v>
      </c>
      <c r="K496" s="52"/>
      <c r="L496" s="52">
        <f>I496+J496+K496</f>
        <v>8937</v>
      </c>
      <c r="M496" s="52">
        <f>-1073.4+1140+200</f>
        <v>266.5999999999999</v>
      </c>
      <c r="N496" s="52"/>
      <c r="O496" s="52">
        <f t="shared" si="154"/>
        <v>9203.6</v>
      </c>
      <c r="P496" s="85">
        <f>540+390</f>
        <v>930</v>
      </c>
      <c r="Q496" s="85"/>
      <c r="R496" s="85">
        <f t="shared" si="152"/>
        <v>10133.6</v>
      </c>
    </row>
    <row r="497" spans="1:18" ht="12.75">
      <c r="A497" s="5" t="s">
        <v>193</v>
      </c>
      <c r="B497" s="5"/>
      <c r="C497" s="47">
        <f aca="true" t="shared" si="156" ref="C497:R497">C498</f>
        <v>3000</v>
      </c>
      <c r="D497" s="47">
        <f t="shared" si="156"/>
        <v>0</v>
      </c>
      <c r="E497" s="47">
        <f t="shared" si="156"/>
        <v>2006.7</v>
      </c>
      <c r="F497" s="47">
        <f t="shared" si="156"/>
        <v>5006.7</v>
      </c>
      <c r="G497" s="47">
        <f t="shared" si="156"/>
        <v>0</v>
      </c>
      <c r="H497" s="47">
        <f t="shared" si="156"/>
        <v>0</v>
      </c>
      <c r="I497" s="47">
        <f t="shared" si="156"/>
        <v>5006.7</v>
      </c>
      <c r="J497" s="47">
        <f t="shared" si="156"/>
        <v>0</v>
      </c>
      <c r="K497" s="47">
        <f t="shared" si="156"/>
        <v>0</v>
      </c>
      <c r="L497" s="47">
        <f t="shared" si="156"/>
        <v>5006.7</v>
      </c>
      <c r="M497" s="47">
        <f t="shared" si="156"/>
        <v>0</v>
      </c>
      <c r="N497" s="47">
        <f t="shared" si="156"/>
        <v>0</v>
      </c>
      <c r="O497" s="47">
        <f t="shared" si="156"/>
        <v>5006.7</v>
      </c>
      <c r="P497" s="47">
        <f t="shared" si="156"/>
        <v>0</v>
      </c>
      <c r="Q497" s="47">
        <f t="shared" si="156"/>
        <v>0</v>
      </c>
      <c r="R497" s="47">
        <f t="shared" si="156"/>
        <v>5006.7</v>
      </c>
    </row>
    <row r="498" spans="1:18" ht="12.75">
      <c r="A498" s="14" t="s">
        <v>69</v>
      </c>
      <c r="B498" s="14"/>
      <c r="C498" s="51">
        <f aca="true" t="shared" si="157" ref="C498:O498">C500</f>
        <v>3000</v>
      </c>
      <c r="D498" s="51">
        <f t="shared" si="157"/>
        <v>0</v>
      </c>
      <c r="E498" s="51">
        <f t="shared" si="157"/>
        <v>2006.7</v>
      </c>
      <c r="F498" s="51">
        <f t="shared" si="157"/>
        <v>5006.7</v>
      </c>
      <c r="G498" s="51">
        <f t="shared" si="157"/>
        <v>0</v>
      </c>
      <c r="H498" s="51">
        <f t="shared" si="157"/>
        <v>0</v>
      </c>
      <c r="I498" s="51">
        <f t="shared" si="157"/>
        <v>5006.7</v>
      </c>
      <c r="J498" s="51">
        <f t="shared" si="157"/>
        <v>0</v>
      </c>
      <c r="K498" s="51">
        <f t="shared" si="157"/>
        <v>0</v>
      </c>
      <c r="L498" s="51">
        <f t="shared" si="157"/>
        <v>5006.7</v>
      </c>
      <c r="M498" s="51">
        <f t="shared" si="157"/>
        <v>0</v>
      </c>
      <c r="N498" s="51">
        <f t="shared" si="157"/>
        <v>0</v>
      </c>
      <c r="O498" s="51">
        <f t="shared" si="157"/>
        <v>5006.7</v>
      </c>
      <c r="P498" s="51">
        <f>P500</f>
        <v>0</v>
      </c>
      <c r="Q498" s="51">
        <f>Q500</f>
        <v>0</v>
      </c>
      <c r="R498" s="51">
        <f>R500</f>
        <v>5006.7</v>
      </c>
    </row>
    <row r="499" spans="1:18" ht="12.75">
      <c r="A499" s="10" t="s">
        <v>38</v>
      </c>
      <c r="B499" s="10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75"/>
      <c r="Q499" s="75"/>
      <c r="R499" s="75"/>
    </row>
    <row r="500" spans="1:18" ht="12.75">
      <c r="A500" s="11" t="s">
        <v>72</v>
      </c>
      <c r="B500" s="11"/>
      <c r="C500" s="52">
        <v>3000</v>
      </c>
      <c r="D500" s="52"/>
      <c r="E500" s="52">
        <v>2006.7</v>
      </c>
      <c r="F500" s="52">
        <f>C500+D500+E500</f>
        <v>5006.7</v>
      </c>
      <c r="G500" s="52"/>
      <c r="H500" s="52"/>
      <c r="I500" s="52">
        <f>F500+G500+H500</f>
        <v>5006.7</v>
      </c>
      <c r="J500" s="52"/>
      <c r="K500" s="52"/>
      <c r="L500" s="52">
        <f>I500+J500+K500</f>
        <v>5006.7</v>
      </c>
      <c r="M500" s="52"/>
      <c r="N500" s="52"/>
      <c r="O500" s="52">
        <f>L500+M500+N500</f>
        <v>5006.7</v>
      </c>
      <c r="P500" s="85"/>
      <c r="Q500" s="85"/>
      <c r="R500" s="85">
        <f>O500+P500+Q500</f>
        <v>5006.7</v>
      </c>
    </row>
    <row r="501" spans="1:18" ht="12.75">
      <c r="A501" s="5" t="s">
        <v>142</v>
      </c>
      <c r="B501" s="5"/>
      <c r="C501" s="47">
        <f aca="true" t="shared" si="158" ref="C501:O501">C503+C504</f>
        <v>161000</v>
      </c>
      <c r="D501" s="54">
        <f t="shared" si="158"/>
        <v>-4000</v>
      </c>
      <c r="E501" s="54">
        <f t="shared" si="158"/>
        <v>76443.2</v>
      </c>
      <c r="F501" s="54">
        <f t="shared" si="158"/>
        <v>233443.2</v>
      </c>
      <c r="G501" s="54">
        <f t="shared" si="158"/>
        <v>56551.2</v>
      </c>
      <c r="H501" s="54">
        <f t="shared" si="158"/>
        <v>12536.3</v>
      </c>
      <c r="I501" s="54">
        <f t="shared" si="158"/>
        <v>302530.70000000007</v>
      </c>
      <c r="J501" s="54">
        <f t="shared" si="158"/>
        <v>22415.1</v>
      </c>
      <c r="K501" s="54">
        <f t="shared" si="158"/>
        <v>5036.1</v>
      </c>
      <c r="L501" s="54">
        <f t="shared" si="158"/>
        <v>329981.89999999997</v>
      </c>
      <c r="M501" s="54">
        <f t="shared" si="158"/>
        <v>0</v>
      </c>
      <c r="N501" s="54">
        <f t="shared" si="158"/>
        <v>-299.99999999999955</v>
      </c>
      <c r="O501" s="54">
        <f t="shared" si="158"/>
        <v>329681.9</v>
      </c>
      <c r="P501" s="54">
        <f>P503+P504</f>
        <v>-40</v>
      </c>
      <c r="Q501" s="54">
        <f>Q503+Q504</f>
        <v>0</v>
      </c>
      <c r="R501" s="89">
        <f>R503+R504</f>
        <v>329641.9</v>
      </c>
    </row>
    <row r="502" spans="1:18" ht="12.75">
      <c r="A502" s="7" t="s">
        <v>38</v>
      </c>
      <c r="B502" s="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83"/>
    </row>
    <row r="503" spans="1:18" ht="12.75">
      <c r="A503" s="5" t="s">
        <v>69</v>
      </c>
      <c r="B503" s="5"/>
      <c r="C503" s="47">
        <f aca="true" t="shared" si="159" ref="C503:O503">C520+C532+C534+C539+C544+C535+C525+C546+C527+C549</f>
        <v>20450</v>
      </c>
      <c r="D503" s="49">
        <f t="shared" si="159"/>
        <v>-2000</v>
      </c>
      <c r="E503" s="49">
        <f t="shared" si="159"/>
        <v>2733.6</v>
      </c>
      <c r="F503" s="49">
        <f t="shared" si="159"/>
        <v>21183.6</v>
      </c>
      <c r="G503" s="49">
        <f t="shared" si="159"/>
        <v>4287.5</v>
      </c>
      <c r="H503" s="49">
        <f t="shared" si="159"/>
        <v>-3384.2000000000003</v>
      </c>
      <c r="I503" s="49">
        <f t="shared" si="159"/>
        <v>22086.9</v>
      </c>
      <c r="J503" s="49">
        <f t="shared" si="159"/>
        <v>7890</v>
      </c>
      <c r="K503" s="49">
        <f t="shared" si="159"/>
        <v>3469.3</v>
      </c>
      <c r="L503" s="49">
        <f t="shared" si="159"/>
        <v>33446.2</v>
      </c>
      <c r="M503" s="49">
        <f t="shared" si="159"/>
        <v>4350</v>
      </c>
      <c r="N503" s="49">
        <f t="shared" si="159"/>
        <v>1498.4</v>
      </c>
      <c r="O503" s="49">
        <f t="shared" si="159"/>
        <v>39294.600000000006</v>
      </c>
      <c r="P503" s="49">
        <f>P520+P532+P534+P539+P544+P535+P525+P546+P527+P549</f>
        <v>1635</v>
      </c>
      <c r="Q503" s="49">
        <f>Q520+Q532+Q534+Q539+Q544+Q535+Q525+Q546+Q527+Q549</f>
        <v>0</v>
      </c>
      <c r="R503" s="86">
        <f>R520+R532+R534+R539+R544+R535+R525+R546+R527+R549</f>
        <v>40929.600000000006</v>
      </c>
    </row>
    <row r="504" spans="1:18" ht="12.75">
      <c r="A504" s="5" t="s">
        <v>75</v>
      </c>
      <c r="B504" s="5"/>
      <c r="C504" s="47">
        <f>C507+C508+C510+C511+C513+C515+C516+C517+C521+C522+C524+C526+C528+C530+C531+C533+C536+C538+C540+C541+C543+C545+C547+C551+C550</f>
        <v>140550</v>
      </c>
      <c r="D504" s="49">
        <f>D507+D508+D510+D511+D513+D515+D516+D517+D521+D522+D524+D526+D528+D530+D531+D533+D536+D538+D540+D541+D543+D545+D547+D551+D550</f>
        <v>-2000</v>
      </c>
      <c r="E504" s="49">
        <f>E507+E508+E510+E511+E513+E515+E516+E517+E521+E522+E524+E526+E528+E530+E531+E533+E536+E538+E540+E541+E543+E545+E547+E551</f>
        <v>73709.59999999999</v>
      </c>
      <c r="F504" s="49">
        <f aca="true" t="shared" si="160" ref="F504:L504">F507+F508+F510+F511+F513+F515+F516+F517+F521+F522+F524+F526+F528+F530+F531+F533+F536+F538+F540+F541+F543+F545+F547+F551+F550</f>
        <v>212259.6</v>
      </c>
      <c r="G504" s="49">
        <f t="shared" si="160"/>
        <v>52263.7</v>
      </c>
      <c r="H504" s="49">
        <f t="shared" si="160"/>
        <v>15920.5</v>
      </c>
      <c r="I504" s="49">
        <f t="shared" si="160"/>
        <v>280443.80000000005</v>
      </c>
      <c r="J504" s="49">
        <f t="shared" si="160"/>
        <v>14525.099999999999</v>
      </c>
      <c r="K504" s="49">
        <f t="shared" si="160"/>
        <v>1566.8000000000002</v>
      </c>
      <c r="L504" s="49">
        <f t="shared" si="160"/>
        <v>296535.69999999995</v>
      </c>
      <c r="M504" s="49">
        <f aca="true" t="shared" si="161" ref="M504:R504">M507+M508+M510+M511+M513+M515+M516+M517+M521+M522+M524+M526+M528+M530+M531+M533+M536+M538+M540+M541+M543+M545+M547+M551+M550</f>
        <v>-4350</v>
      </c>
      <c r="N504" s="49">
        <f t="shared" si="161"/>
        <v>-1798.3999999999996</v>
      </c>
      <c r="O504" s="49">
        <f t="shared" si="161"/>
        <v>290387.3</v>
      </c>
      <c r="P504" s="49">
        <f t="shared" si="161"/>
        <v>-1675</v>
      </c>
      <c r="Q504" s="49">
        <f t="shared" si="161"/>
        <v>0</v>
      </c>
      <c r="R504" s="86">
        <f t="shared" si="161"/>
        <v>288712.3</v>
      </c>
    </row>
    <row r="505" spans="1:18" ht="12.75">
      <c r="A505" s="6" t="s">
        <v>143</v>
      </c>
      <c r="B505" s="6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75"/>
      <c r="Q505" s="75"/>
      <c r="R505" s="75"/>
    </row>
    <row r="506" spans="1:18" ht="12.75">
      <c r="A506" s="7" t="s">
        <v>144</v>
      </c>
      <c r="B506" s="7"/>
      <c r="C506" s="48">
        <f aca="true" t="shared" si="162" ref="C506:R506">C507+C508</f>
        <v>1000</v>
      </c>
      <c r="D506" s="48">
        <f t="shared" si="162"/>
        <v>0</v>
      </c>
      <c r="E506" s="48">
        <f t="shared" si="162"/>
        <v>0</v>
      </c>
      <c r="F506" s="48">
        <f t="shared" si="162"/>
        <v>1000</v>
      </c>
      <c r="G506" s="48">
        <f t="shared" si="162"/>
        <v>0</v>
      </c>
      <c r="H506" s="48">
        <f t="shared" si="162"/>
        <v>0</v>
      </c>
      <c r="I506" s="48">
        <f t="shared" si="162"/>
        <v>1000</v>
      </c>
      <c r="J506" s="48">
        <f t="shared" si="162"/>
        <v>0</v>
      </c>
      <c r="K506" s="48">
        <f t="shared" si="162"/>
        <v>14.7</v>
      </c>
      <c r="L506" s="48">
        <f t="shared" si="162"/>
        <v>1014.7</v>
      </c>
      <c r="M506" s="48">
        <f t="shared" si="162"/>
        <v>0</v>
      </c>
      <c r="N506" s="48">
        <f t="shared" si="162"/>
        <v>0</v>
      </c>
      <c r="O506" s="48">
        <f t="shared" si="162"/>
        <v>1014.7</v>
      </c>
      <c r="P506" s="48">
        <f t="shared" si="162"/>
        <v>0</v>
      </c>
      <c r="Q506" s="48">
        <f t="shared" si="162"/>
        <v>0</v>
      </c>
      <c r="R506" s="90">
        <f t="shared" si="162"/>
        <v>1014.7</v>
      </c>
    </row>
    <row r="507" spans="1:18" ht="12.75">
      <c r="A507" s="7" t="s">
        <v>145</v>
      </c>
      <c r="B507" s="7"/>
      <c r="C507" s="48"/>
      <c r="D507" s="48"/>
      <c r="E507" s="47"/>
      <c r="F507" s="48">
        <f aca="true" t="shared" si="163" ref="F507:F551">C507+D507+E507</f>
        <v>0</v>
      </c>
      <c r="G507" s="48"/>
      <c r="H507" s="47"/>
      <c r="I507" s="48">
        <f>F507+G507+H507</f>
        <v>0</v>
      </c>
      <c r="J507" s="48"/>
      <c r="K507" s="47"/>
      <c r="L507" s="48">
        <f>I507+J507+K507</f>
        <v>0</v>
      </c>
      <c r="M507" s="48">
        <v>1014.7</v>
      </c>
      <c r="N507" s="47"/>
      <c r="O507" s="48">
        <f>L507+M507+N507</f>
        <v>1014.7</v>
      </c>
      <c r="P507" s="75"/>
      <c r="Q507" s="75"/>
      <c r="R507" s="75">
        <f>O507+P507+Q507</f>
        <v>1014.7</v>
      </c>
    </row>
    <row r="508" spans="1:18" ht="12.75">
      <c r="A508" s="7" t="s">
        <v>146</v>
      </c>
      <c r="B508" s="7"/>
      <c r="C508" s="48">
        <v>1000</v>
      </c>
      <c r="D508" s="48"/>
      <c r="E508" s="48"/>
      <c r="F508" s="48">
        <f t="shared" si="163"/>
        <v>1000</v>
      </c>
      <c r="G508" s="48"/>
      <c r="H508" s="47"/>
      <c r="I508" s="48">
        <f>F508+G508+H508</f>
        <v>1000</v>
      </c>
      <c r="J508" s="48"/>
      <c r="K508" s="48">
        <v>14.7</v>
      </c>
      <c r="L508" s="48">
        <f>I508+J508+K508</f>
        <v>1014.7</v>
      </c>
      <c r="M508" s="48">
        <v>-1014.7</v>
      </c>
      <c r="N508" s="47"/>
      <c r="O508" s="48">
        <f>L508+M508+N508</f>
        <v>0</v>
      </c>
      <c r="P508" s="75"/>
      <c r="Q508" s="75"/>
      <c r="R508" s="75">
        <f>O508+P508+Q508</f>
        <v>0</v>
      </c>
    </row>
    <row r="509" spans="1:18" ht="12.75">
      <c r="A509" s="7" t="s">
        <v>147</v>
      </c>
      <c r="B509" s="7"/>
      <c r="C509" s="48">
        <f aca="true" t="shared" si="164" ref="C509:R509">C510+C511</f>
        <v>2260</v>
      </c>
      <c r="D509" s="48">
        <f t="shared" si="164"/>
        <v>0</v>
      </c>
      <c r="E509" s="48">
        <f t="shared" si="164"/>
        <v>0</v>
      </c>
      <c r="F509" s="48">
        <f t="shared" si="164"/>
        <v>2260</v>
      </c>
      <c r="G509" s="48">
        <f t="shared" si="164"/>
        <v>4132.8</v>
      </c>
      <c r="H509" s="48">
        <f t="shared" si="164"/>
        <v>0</v>
      </c>
      <c r="I509" s="48">
        <f t="shared" si="164"/>
        <v>6392.8</v>
      </c>
      <c r="J509" s="48">
        <f t="shared" si="164"/>
        <v>-2797</v>
      </c>
      <c r="K509" s="48">
        <f t="shared" si="164"/>
        <v>0</v>
      </c>
      <c r="L509" s="48">
        <f t="shared" si="164"/>
        <v>3595.8</v>
      </c>
      <c r="M509" s="48">
        <f t="shared" si="164"/>
        <v>0</v>
      </c>
      <c r="N509" s="48">
        <f t="shared" si="164"/>
        <v>0</v>
      </c>
      <c r="O509" s="48">
        <f t="shared" si="164"/>
        <v>3595.8</v>
      </c>
      <c r="P509" s="48">
        <f t="shared" si="164"/>
        <v>0</v>
      </c>
      <c r="Q509" s="48">
        <f t="shared" si="164"/>
        <v>0</v>
      </c>
      <c r="R509" s="90">
        <f t="shared" si="164"/>
        <v>3595.8</v>
      </c>
    </row>
    <row r="510" spans="1:18" ht="12.75">
      <c r="A510" s="7" t="s">
        <v>145</v>
      </c>
      <c r="B510" s="7"/>
      <c r="C510" s="48">
        <v>2260</v>
      </c>
      <c r="D510" s="48"/>
      <c r="E510" s="48"/>
      <c r="F510" s="48">
        <f t="shared" si="163"/>
        <v>2260</v>
      </c>
      <c r="G510" s="48">
        <v>3000</v>
      </c>
      <c r="H510" s="47"/>
      <c r="I510" s="48">
        <f>F510+G510+H510</f>
        <v>5260</v>
      </c>
      <c r="J510" s="48">
        <f>203-3000</f>
        <v>-2797</v>
      </c>
      <c r="K510" s="48"/>
      <c r="L510" s="48">
        <f>I510+J510+K510</f>
        <v>2463</v>
      </c>
      <c r="M510" s="48"/>
      <c r="N510" s="47"/>
      <c r="O510" s="48">
        <f>L510+M510+N510</f>
        <v>2463</v>
      </c>
      <c r="P510" s="75">
        <v>800</v>
      </c>
      <c r="Q510" s="75"/>
      <c r="R510" s="75">
        <f>O510+P510</f>
        <v>3263</v>
      </c>
    </row>
    <row r="511" spans="1:18" ht="12.75">
      <c r="A511" s="7" t="s">
        <v>146</v>
      </c>
      <c r="B511" s="7"/>
      <c r="C511" s="48"/>
      <c r="D511" s="48"/>
      <c r="E511" s="48"/>
      <c r="F511" s="48">
        <f t="shared" si="163"/>
        <v>0</v>
      </c>
      <c r="G511" s="48">
        <v>1132.8</v>
      </c>
      <c r="H511" s="47"/>
      <c r="I511" s="48">
        <f>F511+G511+H511</f>
        <v>1132.8</v>
      </c>
      <c r="J511" s="48">
        <f>-203+203</f>
        <v>0</v>
      </c>
      <c r="K511" s="48"/>
      <c r="L511" s="48">
        <f>I511+J511+K511</f>
        <v>1132.8</v>
      </c>
      <c r="M511" s="48"/>
      <c r="N511" s="47"/>
      <c r="O511" s="48">
        <f>L511+M511+N511</f>
        <v>1132.8</v>
      </c>
      <c r="P511" s="75">
        <v>-800</v>
      </c>
      <c r="Q511" s="75"/>
      <c r="R511" s="75">
        <f>O511+P511</f>
        <v>332.79999999999995</v>
      </c>
    </row>
    <row r="512" spans="1:18" ht="12.75" hidden="1">
      <c r="A512" s="8" t="s">
        <v>247</v>
      </c>
      <c r="B512" s="8"/>
      <c r="C512" s="48">
        <f aca="true" t="shared" si="165" ref="C512:R512">C513</f>
        <v>0</v>
      </c>
      <c r="D512" s="48">
        <f t="shared" si="165"/>
        <v>0</v>
      </c>
      <c r="E512" s="48">
        <f t="shared" si="165"/>
        <v>0</v>
      </c>
      <c r="F512" s="48">
        <f t="shared" si="165"/>
        <v>0</v>
      </c>
      <c r="G512" s="48">
        <f t="shared" si="165"/>
        <v>0</v>
      </c>
      <c r="H512" s="48">
        <f t="shared" si="165"/>
        <v>0</v>
      </c>
      <c r="I512" s="48">
        <f t="shared" si="165"/>
        <v>0</v>
      </c>
      <c r="J512" s="48">
        <f t="shared" si="165"/>
        <v>0</v>
      </c>
      <c r="K512" s="48">
        <f t="shared" si="165"/>
        <v>0</v>
      </c>
      <c r="L512" s="48">
        <f t="shared" si="165"/>
        <v>0</v>
      </c>
      <c r="M512" s="48">
        <f t="shared" si="165"/>
        <v>0</v>
      </c>
      <c r="N512" s="48">
        <f t="shared" si="165"/>
        <v>0</v>
      </c>
      <c r="O512" s="48">
        <f t="shared" si="165"/>
        <v>0</v>
      </c>
      <c r="P512" s="48">
        <f t="shared" si="165"/>
        <v>0</v>
      </c>
      <c r="Q512" s="48">
        <f t="shared" si="165"/>
        <v>0</v>
      </c>
      <c r="R512" s="90">
        <f t="shared" si="165"/>
        <v>0</v>
      </c>
    </row>
    <row r="513" spans="1:18" ht="12.75" hidden="1">
      <c r="A513" s="8" t="s">
        <v>248</v>
      </c>
      <c r="B513" s="8"/>
      <c r="C513" s="48"/>
      <c r="D513" s="48"/>
      <c r="E513" s="48"/>
      <c r="F513" s="48">
        <f t="shared" si="163"/>
        <v>0</v>
      </c>
      <c r="G513" s="48"/>
      <c r="H513" s="47"/>
      <c r="I513" s="48"/>
      <c r="J513" s="48"/>
      <c r="K513" s="47"/>
      <c r="L513" s="48"/>
      <c r="M513" s="48"/>
      <c r="N513" s="47"/>
      <c r="O513" s="48">
        <f>L513+M513+N513</f>
        <v>0</v>
      </c>
      <c r="P513" s="75"/>
      <c r="Q513" s="75"/>
      <c r="R513" s="75">
        <f>O513+P513</f>
        <v>0</v>
      </c>
    </row>
    <row r="514" spans="1:18" ht="12.75">
      <c r="A514" s="7" t="s">
        <v>148</v>
      </c>
      <c r="B514" s="7"/>
      <c r="C514" s="48">
        <f>SUM(C515:C518)</f>
        <v>40000</v>
      </c>
      <c r="D514" s="48">
        <f aca="true" t="shared" si="166" ref="D514:R514">SUM(D515:D518)</f>
        <v>0</v>
      </c>
      <c r="E514" s="48">
        <f t="shared" si="166"/>
        <v>34341.799999999996</v>
      </c>
      <c r="F514" s="48">
        <f t="shared" si="166"/>
        <v>74341.8</v>
      </c>
      <c r="G514" s="48">
        <f t="shared" si="166"/>
        <v>8518.4</v>
      </c>
      <c r="H514" s="48">
        <f t="shared" si="166"/>
        <v>0</v>
      </c>
      <c r="I514" s="48">
        <f t="shared" si="166"/>
        <v>82860.2</v>
      </c>
      <c r="J514" s="48">
        <f t="shared" si="166"/>
        <v>19200</v>
      </c>
      <c r="K514" s="48">
        <f t="shared" si="166"/>
        <v>0</v>
      </c>
      <c r="L514" s="48">
        <f t="shared" si="166"/>
        <v>102060.2</v>
      </c>
      <c r="M514" s="48">
        <f t="shared" si="166"/>
        <v>0</v>
      </c>
      <c r="N514" s="48">
        <f t="shared" si="166"/>
        <v>0</v>
      </c>
      <c r="O514" s="48">
        <f t="shared" si="166"/>
        <v>102060.2</v>
      </c>
      <c r="P514" s="48">
        <f t="shared" si="166"/>
        <v>0</v>
      </c>
      <c r="Q514" s="48">
        <f t="shared" si="166"/>
        <v>0</v>
      </c>
      <c r="R514" s="75">
        <f t="shared" si="166"/>
        <v>102060.2</v>
      </c>
    </row>
    <row r="515" spans="1:18" ht="12.75">
      <c r="A515" s="7" t="s">
        <v>149</v>
      </c>
      <c r="B515" s="7"/>
      <c r="C515" s="48">
        <v>15000</v>
      </c>
      <c r="D515" s="48"/>
      <c r="E515" s="48">
        <v>4717.7</v>
      </c>
      <c r="F515" s="48">
        <f t="shared" si="163"/>
        <v>19717.7</v>
      </c>
      <c r="G515" s="48">
        <v>-7000</v>
      </c>
      <c r="H515" s="48"/>
      <c r="I515" s="48">
        <f>F515+G515+H515</f>
        <v>12717.7</v>
      </c>
      <c r="J515" s="48"/>
      <c r="K515" s="48"/>
      <c r="L515" s="48">
        <f>I515+J515+K515</f>
        <v>12717.7</v>
      </c>
      <c r="M515" s="48"/>
      <c r="N515" s="48"/>
      <c r="O515" s="48">
        <f>L515+M515+N515</f>
        <v>12717.7</v>
      </c>
      <c r="P515" s="75"/>
      <c r="Q515" s="75"/>
      <c r="R515" s="75">
        <f>O515+P515</f>
        <v>12717.7</v>
      </c>
    </row>
    <row r="516" spans="1:18" ht="12.75">
      <c r="A516" s="7" t="s">
        <v>150</v>
      </c>
      <c r="B516" s="7"/>
      <c r="C516" s="48">
        <v>21000</v>
      </c>
      <c r="D516" s="55"/>
      <c r="E516" s="48">
        <v>29624.1</v>
      </c>
      <c r="F516" s="48">
        <f t="shared" si="163"/>
        <v>50624.1</v>
      </c>
      <c r="G516" s="48">
        <f>7000+4618.4+3900</f>
        <v>15518.4</v>
      </c>
      <c r="H516" s="48"/>
      <c r="I516" s="48">
        <f>F516+G516+H516</f>
        <v>66142.5</v>
      </c>
      <c r="J516" s="48">
        <v>19200</v>
      </c>
      <c r="K516" s="48"/>
      <c r="L516" s="48">
        <f>I516+J516+K516</f>
        <v>85342.5</v>
      </c>
      <c r="M516" s="48"/>
      <c r="N516" s="48">
        <v>3500</v>
      </c>
      <c r="O516" s="48">
        <f>L516+M516+N516</f>
        <v>88842.5</v>
      </c>
      <c r="P516" s="75"/>
      <c r="Q516" s="75"/>
      <c r="R516" s="75">
        <f>O516+P516</f>
        <v>88842.5</v>
      </c>
    </row>
    <row r="517" spans="1:18" ht="12.75">
      <c r="A517" s="7" t="s">
        <v>146</v>
      </c>
      <c r="B517" s="7"/>
      <c r="C517" s="48">
        <v>4000</v>
      </c>
      <c r="D517" s="48"/>
      <c r="E517" s="48"/>
      <c r="F517" s="48">
        <f t="shared" si="163"/>
        <v>4000</v>
      </c>
      <c r="G517" s="48"/>
      <c r="H517" s="48"/>
      <c r="I517" s="48">
        <f>F517+G517+H517</f>
        <v>4000</v>
      </c>
      <c r="J517" s="48"/>
      <c r="K517" s="48"/>
      <c r="L517" s="48">
        <f>I517+J517+K517</f>
        <v>4000</v>
      </c>
      <c r="M517" s="48"/>
      <c r="N517" s="48">
        <v>-3500</v>
      </c>
      <c r="O517" s="48">
        <f>L517+M517+N517</f>
        <v>500</v>
      </c>
      <c r="P517" s="75"/>
      <c r="Q517" s="75"/>
      <c r="R517" s="75">
        <f>O517+P517</f>
        <v>500</v>
      </c>
    </row>
    <row r="518" spans="1:18" ht="12.75" hidden="1">
      <c r="A518" s="8" t="s">
        <v>177</v>
      </c>
      <c r="B518" s="8"/>
      <c r="C518" s="48"/>
      <c r="D518" s="48"/>
      <c r="E518" s="48"/>
      <c r="F518" s="48">
        <f t="shared" si="163"/>
        <v>0</v>
      </c>
      <c r="G518" s="48"/>
      <c r="H518" s="48"/>
      <c r="I518" s="48">
        <f>F518+G518+H518</f>
        <v>0</v>
      </c>
      <c r="J518" s="48"/>
      <c r="K518" s="48"/>
      <c r="L518" s="48">
        <f>I518+J518+K518</f>
        <v>0</v>
      </c>
      <c r="M518" s="48"/>
      <c r="N518" s="48"/>
      <c r="O518" s="48">
        <f>L518+M518+N518</f>
        <v>0</v>
      </c>
      <c r="P518" s="75"/>
      <c r="Q518" s="75"/>
      <c r="R518" s="75">
        <f>O518+P518</f>
        <v>0</v>
      </c>
    </row>
    <row r="519" spans="1:18" ht="12.75">
      <c r="A519" s="7" t="s">
        <v>151</v>
      </c>
      <c r="B519" s="7"/>
      <c r="C519" s="48">
        <f aca="true" t="shared" si="167" ref="C519:R519">C520+C521+C522</f>
        <v>1000</v>
      </c>
      <c r="D519" s="48">
        <f t="shared" si="167"/>
        <v>0</v>
      </c>
      <c r="E519" s="48">
        <f t="shared" si="167"/>
        <v>711</v>
      </c>
      <c r="F519" s="48">
        <f t="shared" si="167"/>
        <v>1711</v>
      </c>
      <c r="G519" s="48">
        <f t="shared" si="167"/>
        <v>0</v>
      </c>
      <c r="H519" s="48">
        <f t="shared" si="167"/>
        <v>232.9</v>
      </c>
      <c r="I519" s="48">
        <f t="shared" si="167"/>
        <v>1943.9</v>
      </c>
      <c r="J519" s="48">
        <f t="shared" si="167"/>
        <v>0</v>
      </c>
      <c r="K519" s="48">
        <f t="shared" si="167"/>
        <v>0</v>
      </c>
      <c r="L519" s="48">
        <f t="shared" si="167"/>
        <v>1943.9</v>
      </c>
      <c r="M519" s="48">
        <f t="shared" si="167"/>
        <v>2000</v>
      </c>
      <c r="N519" s="48">
        <f t="shared" si="167"/>
        <v>0</v>
      </c>
      <c r="O519" s="48">
        <f t="shared" si="167"/>
        <v>3943.9</v>
      </c>
      <c r="P519" s="48">
        <f t="shared" si="167"/>
        <v>0</v>
      </c>
      <c r="Q519" s="48">
        <f t="shared" si="167"/>
        <v>0</v>
      </c>
      <c r="R519" s="90">
        <f t="shared" si="167"/>
        <v>3943.9</v>
      </c>
    </row>
    <row r="520" spans="1:18" ht="12.75">
      <c r="A520" s="7" t="s">
        <v>152</v>
      </c>
      <c r="B520" s="7"/>
      <c r="C520" s="48">
        <v>1000</v>
      </c>
      <c r="D520" s="48"/>
      <c r="E520" s="48">
        <v>80</v>
      </c>
      <c r="F520" s="48">
        <f t="shared" si="163"/>
        <v>1080</v>
      </c>
      <c r="G520" s="48"/>
      <c r="H520" s="48">
        <v>31</v>
      </c>
      <c r="I520" s="48">
        <f>F520+G520+H520</f>
        <v>1111</v>
      </c>
      <c r="J520" s="48"/>
      <c r="K520" s="48"/>
      <c r="L520" s="48">
        <f>I520+J520+K520</f>
        <v>1111</v>
      </c>
      <c r="M520" s="48"/>
      <c r="N520" s="48"/>
      <c r="O520" s="48">
        <f>L520+M520+N520</f>
        <v>1111</v>
      </c>
      <c r="P520" s="75">
        <v>235</v>
      </c>
      <c r="Q520" s="75"/>
      <c r="R520" s="75">
        <f>O520+P520</f>
        <v>1346</v>
      </c>
    </row>
    <row r="521" spans="1:18" ht="12.75">
      <c r="A521" s="7" t="s">
        <v>150</v>
      </c>
      <c r="B521" s="7"/>
      <c r="C521" s="48"/>
      <c r="D521" s="48"/>
      <c r="E521" s="48">
        <v>631</v>
      </c>
      <c r="F521" s="48">
        <f t="shared" si="163"/>
        <v>631</v>
      </c>
      <c r="G521" s="48"/>
      <c r="H521" s="48"/>
      <c r="I521" s="48">
        <f>F521+G521+H521</f>
        <v>631</v>
      </c>
      <c r="J521" s="48"/>
      <c r="K521" s="48"/>
      <c r="L521" s="48">
        <f>I521+J521+K521</f>
        <v>631</v>
      </c>
      <c r="M521" s="48">
        <f>2000+201.9</f>
        <v>2201.9</v>
      </c>
      <c r="N521" s="48"/>
      <c r="O521" s="48">
        <f>L521+M521+N521</f>
        <v>2832.9</v>
      </c>
      <c r="P521" s="75">
        <v>-235</v>
      </c>
      <c r="Q521" s="75"/>
      <c r="R521" s="75">
        <f>O521+P521</f>
        <v>2597.9</v>
      </c>
    </row>
    <row r="522" spans="1:18" ht="12.75" customHeight="1" hidden="1">
      <c r="A522" s="7" t="s">
        <v>146</v>
      </c>
      <c r="B522" s="7"/>
      <c r="C522" s="48"/>
      <c r="D522" s="48"/>
      <c r="E522" s="48"/>
      <c r="F522" s="48">
        <f t="shared" si="163"/>
        <v>0</v>
      </c>
      <c r="G522" s="48"/>
      <c r="H522" s="48">
        <v>201.9</v>
      </c>
      <c r="I522" s="48">
        <f>F522+G522+H522</f>
        <v>201.9</v>
      </c>
      <c r="J522" s="48"/>
      <c r="K522" s="48"/>
      <c r="L522" s="48">
        <f>I522+J522+K522</f>
        <v>201.9</v>
      </c>
      <c r="M522" s="48">
        <v>-201.9</v>
      </c>
      <c r="N522" s="48"/>
      <c r="O522" s="48">
        <f>L522+M522+N522</f>
        <v>0</v>
      </c>
      <c r="P522" s="75"/>
      <c r="Q522" s="75"/>
      <c r="R522" s="75">
        <f>O522+P522</f>
        <v>0</v>
      </c>
    </row>
    <row r="523" spans="1:18" ht="12.75">
      <c r="A523" s="7" t="s">
        <v>153</v>
      </c>
      <c r="B523" s="7"/>
      <c r="C523" s="48">
        <f aca="true" t="shared" si="168" ref="C523:R523">SUM(C524:C528)</f>
        <v>30000</v>
      </c>
      <c r="D523" s="48">
        <f t="shared" si="168"/>
        <v>0</v>
      </c>
      <c r="E523" s="48">
        <f t="shared" si="168"/>
        <v>0</v>
      </c>
      <c r="F523" s="48">
        <f t="shared" si="168"/>
        <v>30000</v>
      </c>
      <c r="G523" s="48">
        <f t="shared" si="168"/>
        <v>18100</v>
      </c>
      <c r="H523" s="48">
        <f t="shared" si="168"/>
        <v>12303.4</v>
      </c>
      <c r="I523" s="48">
        <f t="shared" si="168"/>
        <v>60403.4</v>
      </c>
      <c r="J523" s="48">
        <f t="shared" si="168"/>
        <v>2600</v>
      </c>
      <c r="K523" s="48">
        <f t="shared" si="168"/>
        <v>2000</v>
      </c>
      <c r="L523" s="48">
        <f t="shared" si="168"/>
        <v>65003.4</v>
      </c>
      <c r="M523" s="48">
        <f t="shared" si="168"/>
        <v>-2000</v>
      </c>
      <c r="N523" s="48">
        <f t="shared" si="168"/>
        <v>200</v>
      </c>
      <c r="O523" s="48">
        <f t="shared" si="168"/>
        <v>63203.4</v>
      </c>
      <c r="P523" s="48">
        <f t="shared" si="168"/>
        <v>0</v>
      </c>
      <c r="Q523" s="48">
        <f t="shared" si="168"/>
        <v>0</v>
      </c>
      <c r="R523" s="90">
        <f t="shared" si="168"/>
        <v>63203.4</v>
      </c>
    </row>
    <row r="524" spans="1:18" ht="12.75">
      <c r="A524" s="7" t="s">
        <v>154</v>
      </c>
      <c r="B524" s="7"/>
      <c r="C524" s="48">
        <v>13500</v>
      </c>
      <c r="D524" s="55"/>
      <c r="E524" s="48"/>
      <c r="F524" s="48">
        <f t="shared" si="163"/>
        <v>13500</v>
      </c>
      <c r="G524" s="48">
        <v>13880</v>
      </c>
      <c r="H524" s="48">
        <v>8802</v>
      </c>
      <c r="I524" s="48">
        <f>F524+G524+H524</f>
        <v>36182</v>
      </c>
      <c r="J524" s="48">
        <f>-3100+400</f>
        <v>-2700</v>
      </c>
      <c r="K524" s="48">
        <v>500</v>
      </c>
      <c r="L524" s="48">
        <f>I524+J524+K524</f>
        <v>33982</v>
      </c>
      <c r="M524" s="48"/>
      <c r="N524" s="48">
        <f>2572+200+80</f>
        <v>2852</v>
      </c>
      <c r="O524" s="48">
        <f>L524+M524+N524</f>
        <v>36834</v>
      </c>
      <c r="P524" s="75">
        <v>345</v>
      </c>
      <c r="Q524" s="75"/>
      <c r="R524" s="75">
        <f aca="true" t="shared" si="169" ref="R524:R564">O524+P524</f>
        <v>37179</v>
      </c>
    </row>
    <row r="525" spans="1:18" ht="12.75">
      <c r="A525" s="7" t="s">
        <v>155</v>
      </c>
      <c r="B525" s="7"/>
      <c r="C525" s="48">
        <v>10000</v>
      </c>
      <c r="D525" s="48"/>
      <c r="E525" s="48"/>
      <c r="F525" s="48">
        <f t="shared" si="163"/>
        <v>10000</v>
      </c>
      <c r="G525" s="48">
        <v>4220</v>
      </c>
      <c r="H525" s="48">
        <v>3501.4</v>
      </c>
      <c r="I525" s="48">
        <f>F525+G525+H525</f>
        <v>17721.4</v>
      </c>
      <c r="J525" s="48">
        <f>4600+300</f>
        <v>4900</v>
      </c>
      <c r="K525" s="48">
        <v>600</v>
      </c>
      <c r="L525" s="48">
        <f>I525+J525+K525</f>
        <v>23221.4</v>
      </c>
      <c r="M525" s="48"/>
      <c r="N525" s="48">
        <v>-600</v>
      </c>
      <c r="O525" s="48">
        <f>L525+M525+N525</f>
        <v>22621.4</v>
      </c>
      <c r="P525" s="75"/>
      <c r="Q525" s="75"/>
      <c r="R525" s="75">
        <f t="shared" si="169"/>
        <v>22621.4</v>
      </c>
    </row>
    <row r="526" spans="1:18" ht="13.5" customHeight="1">
      <c r="A526" s="7" t="s">
        <v>156</v>
      </c>
      <c r="B526" s="7"/>
      <c r="C526" s="48">
        <v>3500</v>
      </c>
      <c r="D526" s="48"/>
      <c r="E526" s="48"/>
      <c r="F526" s="48">
        <f t="shared" si="163"/>
        <v>3500</v>
      </c>
      <c r="G526" s="48"/>
      <c r="H526" s="48"/>
      <c r="I526" s="48">
        <f>F526+G526+H526</f>
        <v>3500</v>
      </c>
      <c r="J526" s="48">
        <v>2000</v>
      </c>
      <c r="K526" s="48"/>
      <c r="L526" s="48">
        <f>I526+J526+K526</f>
        <v>5500</v>
      </c>
      <c r="M526" s="48">
        <v>-2000</v>
      </c>
      <c r="N526" s="48"/>
      <c r="O526" s="48">
        <f>L526+M526+N526</f>
        <v>3500</v>
      </c>
      <c r="P526" s="75">
        <v>-197</v>
      </c>
      <c r="Q526" s="75"/>
      <c r="R526" s="75">
        <f t="shared" si="169"/>
        <v>3303</v>
      </c>
    </row>
    <row r="527" spans="1:18" ht="13.5" customHeight="1">
      <c r="A527" s="8" t="s">
        <v>177</v>
      </c>
      <c r="B527" s="8"/>
      <c r="C527" s="48"/>
      <c r="D527" s="48"/>
      <c r="E527" s="48"/>
      <c r="F527" s="48">
        <f t="shared" si="163"/>
        <v>0</v>
      </c>
      <c r="G527" s="48"/>
      <c r="H527" s="48"/>
      <c r="I527" s="48">
        <f>F527+G527+H527</f>
        <v>0</v>
      </c>
      <c r="J527" s="48">
        <v>300</v>
      </c>
      <c r="K527" s="48"/>
      <c r="L527" s="48">
        <f>I527+J527+K527</f>
        <v>300</v>
      </c>
      <c r="M527" s="48"/>
      <c r="N527" s="48">
        <v>-200</v>
      </c>
      <c r="O527" s="48">
        <f>L527+M527+N527</f>
        <v>100</v>
      </c>
      <c r="P527" s="75"/>
      <c r="Q527" s="75"/>
      <c r="R527" s="75">
        <f t="shared" si="169"/>
        <v>100</v>
      </c>
    </row>
    <row r="528" spans="1:18" ht="12.75">
      <c r="A528" s="8" t="s">
        <v>157</v>
      </c>
      <c r="B528" s="8"/>
      <c r="C528" s="48">
        <v>3000</v>
      </c>
      <c r="D528" s="48"/>
      <c r="E528" s="48"/>
      <c r="F528" s="48">
        <f t="shared" si="163"/>
        <v>3000</v>
      </c>
      <c r="G528" s="48"/>
      <c r="H528" s="48"/>
      <c r="I528" s="48">
        <f>F528+G528+H528</f>
        <v>3000</v>
      </c>
      <c r="J528" s="48">
        <v>-1900</v>
      </c>
      <c r="K528" s="48">
        <f>2000-1100</f>
        <v>900</v>
      </c>
      <c r="L528" s="48">
        <f>I528+J528+K528</f>
        <v>2000</v>
      </c>
      <c r="M528" s="48"/>
      <c r="N528" s="48">
        <f>-1772-80</f>
        <v>-1852</v>
      </c>
      <c r="O528" s="48">
        <f>L528+M528+N528</f>
        <v>148</v>
      </c>
      <c r="P528" s="75">
        <v>-148</v>
      </c>
      <c r="Q528" s="75"/>
      <c r="R528" s="75">
        <f t="shared" si="169"/>
        <v>0</v>
      </c>
    </row>
    <row r="529" spans="1:18" ht="12.75">
      <c r="A529" s="7" t="s">
        <v>158</v>
      </c>
      <c r="B529" s="7"/>
      <c r="C529" s="48">
        <f aca="true" t="shared" si="170" ref="C529:R529">SUM(C530:C536)</f>
        <v>65000</v>
      </c>
      <c r="D529" s="48">
        <f t="shared" si="170"/>
        <v>0</v>
      </c>
      <c r="E529" s="48">
        <f t="shared" si="170"/>
        <v>26580.8</v>
      </c>
      <c r="F529" s="48">
        <f t="shared" si="170"/>
        <v>91580.8</v>
      </c>
      <c r="G529" s="48">
        <f t="shared" si="170"/>
        <v>12800</v>
      </c>
      <c r="H529" s="48">
        <f t="shared" si="170"/>
        <v>0</v>
      </c>
      <c r="I529" s="48">
        <f t="shared" si="170"/>
        <v>104380.8</v>
      </c>
      <c r="J529" s="48">
        <f t="shared" si="170"/>
        <v>4192.1</v>
      </c>
      <c r="K529" s="48">
        <f t="shared" si="170"/>
        <v>185.80000000000064</v>
      </c>
      <c r="L529" s="48">
        <f t="shared" si="170"/>
        <v>108758.70000000001</v>
      </c>
      <c r="M529" s="48">
        <f t="shared" si="170"/>
        <v>0</v>
      </c>
      <c r="N529" s="48">
        <f t="shared" si="170"/>
        <v>4200</v>
      </c>
      <c r="O529" s="48">
        <f t="shared" si="170"/>
        <v>112958.70000000003</v>
      </c>
      <c r="P529" s="48">
        <f t="shared" si="170"/>
        <v>400</v>
      </c>
      <c r="Q529" s="48">
        <f t="shared" si="170"/>
        <v>0</v>
      </c>
      <c r="R529" s="90">
        <f t="shared" si="170"/>
        <v>113358.70000000003</v>
      </c>
    </row>
    <row r="530" spans="1:18" ht="12.75">
      <c r="A530" s="7" t="s">
        <v>159</v>
      </c>
      <c r="B530" s="7"/>
      <c r="C530" s="48">
        <v>5700</v>
      </c>
      <c r="D530" s="48"/>
      <c r="E530" s="48">
        <v>20384.3</v>
      </c>
      <c r="F530" s="48">
        <f t="shared" si="163"/>
        <v>26084.3</v>
      </c>
      <c r="G530" s="48">
        <f>150+6800</f>
        <v>6950</v>
      </c>
      <c r="H530" s="48">
        <v>4500</v>
      </c>
      <c r="I530" s="48">
        <f aca="true" t="shared" si="171" ref="I530:I536">F530+G530+H530</f>
        <v>37534.3</v>
      </c>
      <c r="J530" s="48">
        <f>51.8+120</f>
        <v>171.8</v>
      </c>
      <c r="K530" s="48">
        <v>508</v>
      </c>
      <c r="L530" s="48">
        <f aca="true" t="shared" si="172" ref="L530:L536">I530+J530+K530</f>
        <v>38214.100000000006</v>
      </c>
      <c r="M530" s="48">
        <f>180-3273.4</f>
        <v>-3093.4</v>
      </c>
      <c r="N530" s="48">
        <f>-300+1276.7+4500</f>
        <v>5476.7</v>
      </c>
      <c r="O530" s="48">
        <f aca="true" t="shared" si="173" ref="O530:O536">L530+M530+N530</f>
        <v>40597.4</v>
      </c>
      <c r="P530" s="75"/>
      <c r="Q530" s="75"/>
      <c r="R530" s="75">
        <f t="shared" si="169"/>
        <v>40597.4</v>
      </c>
    </row>
    <row r="531" spans="1:18" ht="12.75">
      <c r="A531" s="7" t="s">
        <v>160</v>
      </c>
      <c r="B531" s="7"/>
      <c r="C531" s="48">
        <v>36600</v>
      </c>
      <c r="D531" s="48"/>
      <c r="E531" s="48">
        <v>3542.9</v>
      </c>
      <c r="F531" s="48">
        <f t="shared" si="163"/>
        <v>40142.9</v>
      </c>
      <c r="G531" s="48"/>
      <c r="H531" s="48">
        <v>6411.3</v>
      </c>
      <c r="I531" s="48">
        <f t="shared" si="171"/>
        <v>46554.200000000004</v>
      </c>
      <c r="J531" s="48">
        <v>1382</v>
      </c>
      <c r="K531" s="48">
        <v>-687.7</v>
      </c>
      <c r="L531" s="48">
        <f t="shared" si="172"/>
        <v>47248.50000000001</v>
      </c>
      <c r="M531" s="48">
        <f>-180</f>
        <v>-180</v>
      </c>
      <c r="N531" s="48">
        <v>-3575.1</v>
      </c>
      <c r="O531" s="48">
        <f t="shared" si="173"/>
        <v>43493.40000000001</v>
      </c>
      <c r="P531" s="75"/>
      <c r="Q531" s="75"/>
      <c r="R531" s="75">
        <f t="shared" si="169"/>
        <v>43493.40000000001</v>
      </c>
    </row>
    <row r="532" spans="1:18" ht="12.75">
      <c r="A532" s="7" t="s">
        <v>161</v>
      </c>
      <c r="B532" s="7"/>
      <c r="C532" s="48"/>
      <c r="D532" s="55"/>
      <c r="E532" s="48"/>
      <c r="F532" s="48">
        <f t="shared" si="163"/>
        <v>0</v>
      </c>
      <c r="G532" s="48"/>
      <c r="H532" s="48"/>
      <c r="I532" s="48">
        <f t="shared" si="171"/>
        <v>0</v>
      </c>
      <c r="J532" s="48">
        <v>800</v>
      </c>
      <c r="K532" s="48">
        <v>380</v>
      </c>
      <c r="L532" s="48">
        <f t="shared" si="172"/>
        <v>1180</v>
      </c>
      <c r="M532" s="48"/>
      <c r="N532" s="48"/>
      <c r="O532" s="48">
        <f t="shared" si="173"/>
        <v>1180</v>
      </c>
      <c r="P532" s="75"/>
      <c r="Q532" s="75"/>
      <c r="R532" s="75">
        <f t="shared" si="169"/>
        <v>1180</v>
      </c>
    </row>
    <row r="533" spans="1:18" ht="12.75">
      <c r="A533" s="7" t="s">
        <v>162</v>
      </c>
      <c r="B533" s="7"/>
      <c r="C533" s="48">
        <v>8250</v>
      </c>
      <c r="D533" s="48"/>
      <c r="E533" s="48"/>
      <c r="F533" s="48">
        <f t="shared" si="163"/>
        <v>8250</v>
      </c>
      <c r="G533" s="48">
        <v>6000</v>
      </c>
      <c r="H533" s="48"/>
      <c r="I533" s="48">
        <f t="shared" si="171"/>
        <v>14250</v>
      </c>
      <c r="J533" s="48"/>
      <c r="K533" s="48"/>
      <c r="L533" s="48">
        <f t="shared" si="172"/>
        <v>14250</v>
      </c>
      <c r="M533" s="48"/>
      <c r="N533" s="48"/>
      <c r="O533" s="48">
        <f t="shared" si="173"/>
        <v>14250</v>
      </c>
      <c r="P533" s="75"/>
      <c r="Q533" s="75"/>
      <c r="R533" s="75">
        <f t="shared" si="169"/>
        <v>14250</v>
      </c>
    </row>
    <row r="534" spans="1:18" ht="12.75">
      <c r="A534" s="7" t="s">
        <v>163</v>
      </c>
      <c r="B534" s="7"/>
      <c r="C534" s="48"/>
      <c r="D534" s="48"/>
      <c r="E534" s="48">
        <v>114.1</v>
      </c>
      <c r="F534" s="48">
        <f t="shared" si="163"/>
        <v>114.1</v>
      </c>
      <c r="G534" s="48"/>
      <c r="H534" s="48"/>
      <c r="I534" s="48">
        <f t="shared" si="171"/>
        <v>114.1</v>
      </c>
      <c r="J534" s="55"/>
      <c r="K534" s="48"/>
      <c r="L534" s="48">
        <f t="shared" si="172"/>
        <v>114.1</v>
      </c>
      <c r="M534" s="48"/>
      <c r="N534" s="48"/>
      <c r="O534" s="48">
        <f t="shared" si="173"/>
        <v>114.1</v>
      </c>
      <c r="P534" s="75">
        <v>400</v>
      </c>
      <c r="Q534" s="75"/>
      <c r="R534" s="75">
        <f t="shared" si="169"/>
        <v>514.1</v>
      </c>
    </row>
    <row r="535" spans="1:18" ht="12.75">
      <c r="A535" s="7" t="s">
        <v>164</v>
      </c>
      <c r="B535" s="7"/>
      <c r="C535" s="48">
        <v>7450</v>
      </c>
      <c r="D535" s="48"/>
      <c r="E535" s="48">
        <v>2539.5</v>
      </c>
      <c r="F535" s="48">
        <f t="shared" si="163"/>
        <v>9989.5</v>
      </c>
      <c r="G535" s="48">
        <v>67.5</v>
      </c>
      <c r="H535" s="48">
        <v>-6916.6</v>
      </c>
      <c r="I535" s="48">
        <f t="shared" si="171"/>
        <v>3140.3999999999996</v>
      </c>
      <c r="J535" s="48">
        <v>1890</v>
      </c>
      <c r="K535" s="48">
        <v>2489.3</v>
      </c>
      <c r="L535" s="48">
        <f t="shared" si="172"/>
        <v>7519.7</v>
      </c>
      <c r="M535" s="48">
        <v>3500</v>
      </c>
      <c r="N535" s="48">
        <f>2698.4-400</f>
        <v>2298.4</v>
      </c>
      <c r="O535" s="48">
        <f t="shared" si="173"/>
        <v>13318.1</v>
      </c>
      <c r="P535" s="75"/>
      <c r="Q535" s="75"/>
      <c r="R535" s="75">
        <f t="shared" si="169"/>
        <v>13318.1</v>
      </c>
    </row>
    <row r="536" spans="1:18" ht="12.75">
      <c r="A536" s="7" t="s">
        <v>157</v>
      </c>
      <c r="B536" s="7"/>
      <c r="C536" s="48">
        <v>7000</v>
      </c>
      <c r="D536" s="48"/>
      <c r="E536" s="48"/>
      <c r="F536" s="48">
        <f t="shared" si="163"/>
        <v>7000</v>
      </c>
      <c r="G536" s="48">
        <v>-217.5</v>
      </c>
      <c r="H536" s="48">
        <v>-3994.7</v>
      </c>
      <c r="I536" s="48">
        <f t="shared" si="171"/>
        <v>2787.8</v>
      </c>
      <c r="J536" s="48">
        <f>-51.8+0.1</f>
        <v>-51.699999999999996</v>
      </c>
      <c r="K536" s="48">
        <f>-2689.6+185.8</f>
        <v>-2503.7999999999997</v>
      </c>
      <c r="L536" s="48">
        <f t="shared" si="172"/>
        <v>232.30000000000064</v>
      </c>
      <c r="M536" s="48">
        <v>-226.6</v>
      </c>
      <c r="N536" s="48"/>
      <c r="O536" s="48">
        <f t="shared" si="173"/>
        <v>5.700000000000642</v>
      </c>
      <c r="P536" s="75"/>
      <c r="Q536" s="75"/>
      <c r="R536" s="75">
        <f t="shared" si="169"/>
        <v>5.700000000000642</v>
      </c>
    </row>
    <row r="537" spans="1:18" ht="12.75">
      <c r="A537" s="7" t="s">
        <v>165</v>
      </c>
      <c r="B537" s="7"/>
      <c r="C537" s="48">
        <f aca="true" t="shared" si="174" ref="C537:R537">SUM(C538:C541)</f>
        <v>2000</v>
      </c>
      <c r="D537" s="48">
        <f t="shared" si="174"/>
        <v>0</v>
      </c>
      <c r="E537" s="48">
        <f t="shared" si="174"/>
        <v>0</v>
      </c>
      <c r="F537" s="48">
        <f t="shared" si="174"/>
        <v>2000</v>
      </c>
      <c r="G537" s="48">
        <f t="shared" si="174"/>
        <v>0</v>
      </c>
      <c r="H537" s="48">
        <f t="shared" si="174"/>
        <v>0</v>
      </c>
      <c r="I537" s="48">
        <f t="shared" si="174"/>
        <v>2000</v>
      </c>
      <c r="J537" s="48">
        <f t="shared" si="174"/>
        <v>0</v>
      </c>
      <c r="K537" s="48">
        <f t="shared" si="174"/>
        <v>258.5</v>
      </c>
      <c r="L537" s="48">
        <f t="shared" si="174"/>
        <v>2258.5</v>
      </c>
      <c r="M537" s="48">
        <f t="shared" si="174"/>
        <v>0</v>
      </c>
      <c r="N537" s="48">
        <f t="shared" si="174"/>
        <v>0</v>
      </c>
      <c r="O537" s="48">
        <f t="shared" si="174"/>
        <v>2258.5</v>
      </c>
      <c r="P537" s="48">
        <f t="shared" si="174"/>
        <v>0</v>
      </c>
      <c r="Q537" s="48">
        <f t="shared" si="174"/>
        <v>0</v>
      </c>
      <c r="R537" s="90">
        <f t="shared" si="174"/>
        <v>2258.5</v>
      </c>
    </row>
    <row r="538" spans="1:18" ht="12.75">
      <c r="A538" s="7" t="s">
        <v>154</v>
      </c>
      <c r="B538" s="7"/>
      <c r="C538" s="48">
        <v>800</v>
      </c>
      <c r="D538" s="48"/>
      <c r="E538" s="48"/>
      <c r="F538" s="48">
        <f t="shared" si="163"/>
        <v>800</v>
      </c>
      <c r="G538" s="48"/>
      <c r="H538" s="48"/>
      <c r="I538" s="48">
        <f>F538+G538+H538</f>
        <v>800</v>
      </c>
      <c r="J538" s="48"/>
      <c r="K538" s="48">
        <v>390</v>
      </c>
      <c r="L538" s="48">
        <f>I538+J538+K538</f>
        <v>1190</v>
      </c>
      <c r="M538" s="48"/>
      <c r="N538" s="48"/>
      <c r="O538" s="48">
        <f>L538+M538+N538</f>
        <v>1190</v>
      </c>
      <c r="P538" s="75"/>
      <c r="Q538" s="75"/>
      <c r="R538" s="75">
        <f t="shared" si="169"/>
        <v>1190</v>
      </c>
    </row>
    <row r="539" spans="1:18" ht="12.75" hidden="1">
      <c r="A539" s="7" t="s">
        <v>155</v>
      </c>
      <c r="B539" s="7"/>
      <c r="C539" s="48"/>
      <c r="D539" s="48"/>
      <c r="E539" s="48"/>
      <c r="F539" s="48">
        <f t="shared" si="163"/>
        <v>0</v>
      </c>
      <c r="G539" s="48"/>
      <c r="H539" s="48"/>
      <c r="I539" s="48">
        <f>F539+G539+H539</f>
        <v>0</v>
      </c>
      <c r="J539" s="48"/>
      <c r="K539" s="48"/>
      <c r="L539" s="48">
        <f>I539+J539+K539</f>
        <v>0</v>
      </c>
      <c r="M539" s="48"/>
      <c r="N539" s="48"/>
      <c r="O539" s="48">
        <f>L539+M539+N539</f>
        <v>0</v>
      </c>
      <c r="P539" s="75"/>
      <c r="Q539" s="75"/>
      <c r="R539" s="75">
        <f t="shared" si="169"/>
        <v>0</v>
      </c>
    </row>
    <row r="540" spans="1:18" ht="12.75">
      <c r="A540" s="7" t="s">
        <v>156</v>
      </c>
      <c r="B540" s="7"/>
      <c r="C540" s="48">
        <v>550</v>
      </c>
      <c r="D540" s="48"/>
      <c r="E540" s="48"/>
      <c r="F540" s="48">
        <f t="shared" si="163"/>
        <v>550</v>
      </c>
      <c r="G540" s="48"/>
      <c r="H540" s="48"/>
      <c r="I540" s="48">
        <f>F540+G540+H540</f>
        <v>550</v>
      </c>
      <c r="J540" s="48"/>
      <c r="K540" s="48"/>
      <c r="L540" s="48">
        <f>I540+J540+K540</f>
        <v>550</v>
      </c>
      <c r="M540" s="48">
        <v>100</v>
      </c>
      <c r="N540" s="48"/>
      <c r="O540" s="48">
        <f>L540+M540+N540</f>
        <v>650</v>
      </c>
      <c r="P540" s="75"/>
      <c r="Q540" s="75"/>
      <c r="R540" s="75">
        <f t="shared" si="169"/>
        <v>650</v>
      </c>
    </row>
    <row r="541" spans="1:18" ht="12.75">
      <c r="A541" s="16" t="s">
        <v>157</v>
      </c>
      <c r="B541" s="16"/>
      <c r="C541" s="52">
        <v>650</v>
      </c>
      <c r="D541" s="52"/>
      <c r="E541" s="52"/>
      <c r="F541" s="52">
        <f t="shared" si="163"/>
        <v>650</v>
      </c>
      <c r="G541" s="52"/>
      <c r="H541" s="52"/>
      <c r="I541" s="52">
        <f>F541+G541+H541</f>
        <v>650</v>
      </c>
      <c r="J541" s="52"/>
      <c r="K541" s="52">
        <f>-390+258.5</f>
        <v>-131.5</v>
      </c>
      <c r="L541" s="52">
        <f>I541+J541+K541</f>
        <v>518.5</v>
      </c>
      <c r="M541" s="52">
        <v>-100</v>
      </c>
      <c r="N541" s="52"/>
      <c r="O541" s="52">
        <f>L541+M541+N541</f>
        <v>418.5</v>
      </c>
      <c r="P541" s="85"/>
      <c r="Q541" s="85"/>
      <c r="R541" s="85">
        <f t="shared" si="169"/>
        <v>418.5</v>
      </c>
    </row>
    <row r="542" spans="1:18" ht="12.75">
      <c r="A542" s="7" t="s">
        <v>166</v>
      </c>
      <c r="B542" s="7"/>
      <c r="C542" s="48">
        <f aca="true" t="shared" si="175" ref="C542:R542">SUM(C543:C547)</f>
        <v>12000</v>
      </c>
      <c r="D542" s="48">
        <f t="shared" si="175"/>
        <v>0</v>
      </c>
      <c r="E542" s="48">
        <f t="shared" si="175"/>
        <v>14809.6</v>
      </c>
      <c r="F542" s="48">
        <f t="shared" si="175"/>
        <v>26809.600000000002</v>
      </c>
      <c r="G542" s="48">
        <f t="shared" si="175"/>
        <v>13000</v>
      </c>
      <c r="H542" s="48">
        <f t="shared" si="175"/>
        <v>0</v>
      </c>
      <c r="I542" s="48">
        <f t="shared" si="175"/>
        <v>39809.6</v>
      </c>
      <c r="J542" s="48">
        <f t="shared" si="175"/>
        <v>-2780</v>
      </c>
      <c r="K542" s="48">
        <f t="shared" si="175"/>
        <v>77.5</v>
      </c>
      <c r="L542" s="48">
        <f t="shared" si="175"/>
        <v>37107.1</v>
      </c>
      <c r="M542" s="48">
        <f t="shared" si="175"/>
        <v>0</v>
      </c>
      <c r="N542" s="48">
        <f t="shared" si="175"/>
        <v>0</v>
      </c>
      <c r="O542" s="48">
        <f t="shared" si="175"/>
        <v>37107.1</v>
      </c>
      <c r="P542" s="48">
        <f t="shared" si="175"/>
        <v>-40</v>
      </c>
      <c r="Q542" s="48">
        <f t="shared" si="175"/>
        <v>0</v>
      </c>
      <c r="R542" s="90">
        <f t="shared" si="175"/>
        <v>37067.1</v>
      </c>
    </row>
    <row r="543" spans="1:18" ht="12.75">
      <c r="A543" s="7" t="s">
        <v>154</v>
      </c>
      <c r="B543" s="7"/>
      <c r="C543" s="48"/>
      <c r="D543" s="48"/>
      <c r="E543" s="48">
        <v>273.7</v>
      </c>
      <c r="F543" s="48">
        <f t="shared" si="163"/>
        <v>273.7</v>
      </c>
      <c r="G543" s="48"/>
      <c r="H543" s="48"/>
      <c r="I543" s="48">
        <f>F543+G543+H543</f>
        <v>273.7</v>
      </c>
      <c r="J543" s="48">
        <v>242</v>
      </c>
      <c r="K543" s="48">
        <v>2960</v>
      </c>
      <c r="L543" s="48">
        <f aca="true" t="shared" si="176" ref="L543:L551">I543+J543+K543</f>
        <v>3475.7</v>
      </c>
      <c r="M543" s="48">
        <f>-680</f>
        <v>-680</v>
      </c>
      <c r="N543" s="48">
        <v>1300</v>
      </c>
      <c r="O543" s="48">
        <f aca="true" t="shared" si="177" ref="O543:O551">L543+M543+N543</f>
        <v>4095.7</v>
      </c>
      <c r="P543" s="75">
        <v>1974</v>
      </c>
      <c r="Q543" s="75"/>
      <c r="R543" s="75">
        <f t="shared" si="169"/>
        <v>6069.7</v>
      </c>
    </row>
    <row r="544" spans="1:18" ht="12.75">
      <c r="A544" s="7" t="s">
        <v>155</v>
      </c>
      <c r="B544" s="7"/>
      <c r="C544" s="48"/>
      <c r="D544" s="48"/>
      <c r="E544" s="48"/>
      <c r="F544" s="48">
        <f t="shared" si="163"/>
        <v>0</v>
      </c>
      <c r="G544" s="48"/>
      <c r="H544" s="48"/>
      <c r="I544" s="48">
        <f>F544+G544+H544</f>
        <v>0</v>
      </c>
      <c r="J544" s="48"/>
      <c r="K544" s="48"/>
      <c r="L544" s="48">
        <f t="shared" si="176"/>
        <v>0</v>
      </c>
      <c r="M544" s="48">
        <v>850</v>
      </c>
      <c r="N544" s="48"/>
      <c r="O544" s="48">
        <f t="shared" si="177"/>
        <v>850</v>
      </c>
      <c r="P544" s="75">
        <v>1000</v>
      </c>
      <c r="Q544" s="75"/>
      <c r="R544" s="75">
        <f t="shared" si="169"/>
        <v>1850</v>
      </c>
    </row>
    <row r="545" spans="1:18" ht="12.75">
      <c r="A545" s="7" t="s">
        <v>167</v>
      </c>
      <c r="B545" s="7"/>
      <c r="C545" s="48">
        <v>10800</v>
      </c>
      <c r="D545" s="48"/>
      <c r="E545" s="48">
        <v>12707.4</v>
      </c>
      <c r="F545" s="48">
        <f t="shared" si="163"/>
        <v>23507.4</v>
      </c>
      <c r="G545" s="48">
        <f>13000</f>
        <v>13000</v>
      </c>
      <c r="H545" s="48"/>
      <c r="I545" s="48">
        <f>F545+G545+H545</f>
        <v>36507.4</v>
      </c>
      <c r="J545" s="48"/>
      <c r="K545" s="48">
        <v>-2960</v>
      </c>
      <c r="L545" s="48">
        <f t="shared" si="176"/>
        <v>33547.4</v>
      </c>
      <c r="M545" s="48">
        <f>-170</f>
        <v>-170</v>
      </c>
      <c r="N545" s="48">
        <v>-1300</v>
      </c>
      <c r="O545" s="48">
        <f t="shared" si="177"/>
        <v>32077.4</v>
      </c>
      <c r="P545" s="75">
        <v>-2974</v>
      </c>
      <c r="Q545" s="75"/>
      <c r="R545" s="75">
        <f t="shared" si="169"/>
        <v>29103.4</v>
      </c>
    </row>
    <row r="546" spans="1:18" ht="12.75" hidden="1">
      <c r="A546" s="7" t="s">
        <v>164</v>
      </c>
      <c r="B546" s="7"/>
      <c r="C546" s="48"/>
      <c r="D546" s="48"/>
      <c r="E546" s="48"/>
      <c r="F546" s="48">
        <f t="shared" si="163"/>
        <v>0</v>
      </c>
      <c r="G546" s="48"/>
      <c r="H546" s="48"/>
      <c r="I546" s="48">
        <f>F546+G546+H546</f>
        <v>0</v>
      </c>
      <c r="J546" s="48"/>
      <c r="K546" s="48"/>
      <c r="L546" s="48">
        <f t="shared" si="176"/>
        <v>0</v>
      </c>
      <c r="M546" s="48"/>
      <c r="N546" s="48"/>
      <c r="O546" s="48">
        <f t="shared" si="177"/>
        <v>0</v>
      </c>
      <c r="P546" s="75"/>
      <c r="Q546" s="75"/>
      <c r="R546" s="75">
        <f t="shared" si="169"/>
        <v>0</v>
      </c>
    </row>
    <row r="547" spans="1:18" ht="12.75">
      <c r="A547" s="7" t="s">
        <v>157</v>
      </c>
      <c r="B547" s="7"/>
      <c r="C547" s="48">
        <v>1200</v>
      </c>
      <c r="D547" s="55"/>
      <c r="E547" s="48">
        <v>1828.5</v>
      </c>
      <c r="F547" s="48">
        <f t="shared" si="163"/>
        <v>3028.5</v>
      </c>
      <c r="G547" s="48"/>
      <c r="H547" s="48"/>
      <c r="I547" s="48">
        <f>F547+G547+H547</f>
        <v>3028.5</v>
      </c>
      <c r="J547" s="48">
        <f>-2780-242</f>
        <v>-3022</v>
      </c>
      <c r="K547" s="48">
        <v>77.5</v>
      </c>
      <c r="L547" s="48">
        <f t="shared" si="176"/>
        <v>84</v>
      </c>
      <c r="M547" s="48"/>
      <c r="N547" s="48"/>
      <c r="O547" s="48">
        <f t="shared" si="177"/>
        <v>84</v>
      </c>
      <c r="P547" s="75">
        <v>-40</v>
      </c>
      <c r="Q547" s="75"/>
      <c r="R547" s="75">
        <f t="shared" si="169"/>
        <v>44</v>
      </c>
    </row>
    <row r="548" spans="1:18" ht="12.75">
      <c r="A548" s="8" t="s">
        <v>168</v>
      </c>
      <c r="B548" s="8"/>
      <c r="C548" s="48">
        <f aca="true" t="shared" si="178" ref="C548:R548">SUM(C549:C551)</f>
        <v>7740</v>
      </c>
      <c r="D548" s="48">
        <f t="shared" si="178"/>
        <v>-4000</v>
      </c>
      <c r="E548" s="48">
        <f t="shared" si="178"/>
        <v>0</v>
      </c>
      <c r="F548" s="48">
        <f t="shared" si="178"/>
        <v>3740</v>
      </c>
      <c r="G548" s="48">
        <f t="shared" si="178"/>
        <v>0</v>
      </c>
      <c r="H548" s="48">
        <f t="shared" si="178"/>
        <v>0</v>
      </c>
      <c r="I548" s="48">
        <f t="shared" si="178"/>
        <v>3740</v>
      </c>
      <c r="J548" s="48">
        <f t="shared" si="178"/>
        <v>2000</v>
      </c>
      <c r="K548" s="48">
        <f t="shared" si="178"/>
        <v>2499.6</v>
      </c>
      <c r="L548" s="48">
        <f t="shared" si="178"/>
        <v>8239.6</v>
      </c>
      <c r="M548" s="48">
        <f t="shared" si="178"/>
        <v>0</v>
      </c>
      <c r="N548" s="48">
        <f t="shared" si="178"/>
        <v>-4700</v>
      </c>
      <c r="O548" s="48">
        <f t="shared" si="178"/>
        <v>3539.6000000000004</v>
      </c>
      <c r="P548" s="48">
        <f t="shared" si="178"/>
        <v>-400</v>
      </c>
      <c r="Q548" s="48">
        <f t="shared" si="178"/>
        <v>0</v>
      </c>
      <c r="R548" s="90">
        <f t="shared" si="178"/>
        <v>3139.6000000000004</v>
      </c>
    </row>
    <row r="549" spans="1:18" ht="12.75">
      <c r="A549" s="8" t="s">
        <v>270</v>
      </c>
      <c r="B549" s="8"/>
      <c r="C549" s="48">
        <v>2000</v>
      </c>
      <c r="D549" s="55">
        <v>-2000</v>
      </c>
      <c r="E549" s="48"/>
      <c r="F549" s="48">
        <f t="shared" si="163"/>
        <v>0</v>
      </c>
      <c r="G549" s="48"/>
      <c r="H549" s="48"/>
      <c r="I549" s="48">
        <f>F549+G549+H549</f>
        <v>0</v>
      </c>
      <c r="J549" s="48"/>
      <c r="K549" s="48"/>
      <c r="L549" s="48">
        <f t="shared" si="176"/>
        <v>0</v>
      </c>
      <c r="M549" s="48"/>
      <c r="N549" s="48"/>
      <c r="O549" s="48">
        <f t="shared" si="177"/>
        <v>0</v>
      </c>
      <c r="P549" s="75"/>
      <c r="Q549" s="75"/>
      <c r="R549" s="75">
        <f t="shared" si="169"/>
        <v>0</v>
      </c>
    </row>
    <row r="550" spans="1:18" ht="12.75">
      <c r="A550" s="8" t="s">
        <v>387</v>
      </c>
      <c r="B550" s="8"/>
      <c r="C550" s="48">
        <v>2000</v>
      </c>
      <c r="D550" s="55">
        <v>-2000</v>
      </c>
      <c r="E550" s="48"/>
      <c r="F550" s="48">
        <f t="shared" si="163"/>
        <v>0</v>
      </c>
      <c r="G550" s="48"/>
      <c r="H550" s="48"/>
      <c r="I550" s="48">
        <f>F550+G550+H550</f>
        <v>0</v>
      </c>
      <c r="J550" s="48"/>
      <c r="K550" s="48"/>
      <c r="L550" s="48">
        <f t="shared" si="176"/>
        <v>0</v>
      </c>
      <c r="M550" s="48"/>
      <c r="N550" s="48"/>
      <c r="O550" s="48">
        <f t="shared" si="177"/>
        <v>0</v>
      </c>
      <c r="P550" s="75"/>
      <c r="Q550" s="75"/>
      <c r="R550" s="75">
        <f t="shared" si="169"/>
        <v>0</v>
      </c>
    </row>
    <row r="551" spans="1:18" ht="12.75">
      <c r="A551" s="11" t="s">
        <v>271</v>
      </c>
      <c r="B551" s="11"/>
      <c r="C551" s="52">
        <v>3740</v>
      </c>
      <c r="D551" s="52"/>
      <c r="E551" s="52"/>
      <c r="F551" s="52">
        <f t="shared" si="163"/>
        <v>3740</v>
      </c>
      <c r="G551" s="52"/>
      <c r="H551" s="52"/>
      <c r="I551" s="52">
        <f>F551+G551+H551</f>
        <v>3740</v>
      </c>
      <c r="J551" s="52">
        <v>2000</v>
      </c>
      <c r="K551" s="52">
        <v>2499.6</v>
      </c>
      <c r="L551" s="52">
        <f t="shared" si="176"/>
        <v>8239.6</v>
      </c>
      <c r="M551" s="52"/>
      <c r="N551" s="52">
        <f>-4500-200</f>
        <v>-4700</v>
      </c>
      <c r="O551" s="52">
        <f t="shared" si="177"/>
        <v>3539.6000000000004</v>
      </c>
      <c r="P551" s="85">
        <v>-400</v>
      </c>
      <c r="Q551" s="85"/>
      <c r="R551" s="85">
        <f t="shared" si="169"/>
        <v>3139.6000000000004</v>
      </c>
    </row>
    <row r="552" spans="1:18" ht="13.5" thickBot="1">
      <c r="A552" s="22" t="s">
        <v>169</v>
      </c>
      <c r="B552" s="9"/>
      <c r="C552" s="49">
        <v>4798</v>
      </c>
      <c r="D552" s="49"/>
      <c r="E552" s="49"/>
      <c r="F552" s="49">
        <f>SUM(C552:E552)</f>
        <v>4798</v>
      </c>
      <c r="G552" s="49">
        <v>88</v>
      </c>
      <c r="H552" s="49"/>
      <c r="I552" s="49">
        <f>SUM(F552:H552)</f>
        <v>4886</v>
      </c>
      <c r="J552" s="49"/>
      <c r="K552" s="49">
        <f>755.3-23.3</f>
        <v>732</v>
      </c>
      <c r="L552" s="80">
        <f>SUM(I552:K552)</f>
        <v>5618</v>
      </c>
      <c r="M552" s="49"/>
      <c r="N552" s="49"/>
      <c r="O552" s="49">
        <f>SUM(L552:N552)</f>
        <v>5618</v>
      </c>
      <c r="P552" s="86"/>
      <c r="Q552" s="86"/>
      <c r="R552" s="86">
        <f>O552+P552</f>
        <v>5618</v>
      </c>
    </row>
    <row r="553" spans="1:18" ht="15.75" thickBot="1">
      <c r="A553" s="23" t="s">
        <v>170</v>
      </c>
      <c r="B553" s="23"/>
      <c r="C553" s="37">
        <f aca="true" t="shared" si="179" ref="C553:R553">C101+C121+C148+C165+C175+C197+C208+C220+C274+C326+C343+C412+C446+C469+C476+C497+C501+C552+C483+C364</f>
        <v>3476692.5</v>
      </c>
      <c r="D553" s="37">
        <f t="shared" si="179"/>
        <v>0</v>
      </c>
      <c r="E553" s="37">
        <f t="shared" si="179"/>
        <v>552533.4</v>
      </c>
      <c r="F553" s="37">
        <f t="shared" si="179"/>
        <v>4029225.9000000004</v>
      </c>
      <c r="G553" s="37">
        <f t="shared" si="179"/>
        <v>4675059.7</v>
      </c>
      <c r="H553" s="37">
        <f t="shared" si="179"/>
        <v>10046.2</v>
      </c>
      <c r="I553" s="37">
        <f t="shared" si="179"/>
        <v>8714331.8</v>
      </c>
      <c r="J553" s="37">
        <f t="shared" si="179"/>
        <v>562400.6</v>
      </c>
      <c r="K553" s="37">
        <f t="shared" si="179"/>
        <v>34267.1</v>
      </c>
      <c r="L553" s="37">
        <f t="shared" si="179"/>
        <v>9310999.5</v>
      </c>
      <c r="M553" s="37">
        <f t="shared" si="179"/>
        <v>310866.20000000007</v>
      </c>
      <c r="N553" s="37">
        <f t="shared" si="179"/>
        <v>3043.100000000001</v>
      </c>
      <c r="O553" s="37">
        <f t="shared" si="179"/>
        <v>9624908.799999999</v>
      </c>
      <c r="P553" s="37">
        <f t="shared" si="179"/>
        <v>197994.7</v>
      </c>
      <c r="Q553" s="37">
        <f t="shared" si="179"/>
        <v>0</v>
      </c>
      <c r="R553" s="91">
        <f t="shared" si="179"/>
        <v>9822903.5</v>
      </c>
    </row>
    <row r="554" spans="1:18" ht="13.5" thickBot="1">
      <c r="A554" s="24" t="s">
        <v>171</v>
      </c>
      <c r="B554" s="24"/>
      <c r="C554" s="38">
        <v>-4798</v>
      </c>
      <c r="D554" s="38"/>
      <c r="E554" s="38"/>
      <c r="F554" s="38">
        <f>SUM(C554:E554)</f>
        <v>-4798</v>
      </c>
      <c r="G554" s="38">
        <v>-88</v>
      </c>
      <c r="H554" s="38"/>
      <c r="I554" s="38">
        <f>SUM(F554:H554)</f>
        <v>-4886</v>
      </c>
      <c r="J554" s="38"/>
      <c r="K554" s="38"/>
      <c r="L554" s="38">
        <f>SUM(I554:K554)</f>
        <v>-4886</v>
      </c>
      <c r="M554" s="38"/>
      <c r="N554" s="38"/>
      <c r="O554" s="38">
        <f>SUM(L554:N554)</f>
        <v>-4886</v>
      </c>
      <c r="P554" s="75"/>
      <c r="Q554" s="75"/>
      <c r="R554" s="88">
        <f t="shared" si="169"/>
        <v>-4886</v>
      </c>
    </row>
    <row r="555" spans="1:18" ht="16.5" thickBot="1">
      <c r="A555" s="25" t="s">
        <v>172</v>
      </c>
      <c r="B555" s="25"/>
      <c r="C555" s="39">
        <f>C553+C554</f>
        <v>3471894.5</v>
      </c>
      <c r="D555" s="39">
        <f>D553+D554</f>
        <v>0</v>
      </c>
      <c r="E555" s="39">
        <f>E553+E554</f>
        <v>552533.4</v>
      </c>
      <c r="F555" s="39">
        <f>F553+F554</f>
        <v>4024427.9000000004</v>
      </c>
      <c r="G555" s="39">
        <f aca="true" t="shared" si="180" ref="G555:O555">G553+G554</f>
        <v>4674971.7</v>
      </c>
      <c r="H555" s="39">
        <f t="shared" si="180"/>
        <v>10046.2</v>
      </c>
      <c r="I555" s="39">
        <f t="shared" si="180"/>
        <v>8709445.8</v>
      </c>
      <c r="J555" s="39">
        <f t="shared" si="180"/>
        <v>562400.6</v>
      </c>
      <c r="K555" s="39">
        <f t="shared" si="180"/>
        <v>34267.1</v>
      </c>
      <c r="L555" s="39">
        <f t="shared" si="180"/>
        <v>9306113.5</v>
      </c>
      <c r="M555" s="39">
        <f t="shared" si="180"/>
        <v>310866.20000000007</v>
      </c>
      <c r="N555" s="39">
        <f t="shared" si="180"/>
        <v>3043.100000000001</v>
      </c>
      <c r="O555" s="39">
        <f t="shared" si="180"/>
        <v>9620022.799999999</v>
      </c>
      <c r="P555" s="39">
        <f>P553+P554</f>
        <v>197994.7</v>
      </c>
      <c r="Q555" s="39">
        <f>Q553+Q554</f>
        <v>0</v>
      </c>
      <c r="R555" s="92">
        <f>R553+R554</f>
        <v>9818017.5</v>
      </c>
    </row>
    <row r="556" spans="1:18" ht="15.75">
      <c r="A556" s="26" t="s">
        <v>38</v>
      </c>
      <c r="B556" s="26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93"/>
    </row>
    <row r="557" spans="1:18" ht="15.75">
      <c r="A557" s="27" t="s">
        <v>69</v>
      </c>
      <c r="B557" s="27"/>
      <c r="C557" s="35">
        <f aca="true" t="shared" si="181" ref="C557:O557">C102+C122+C149+C166+C176+C198+C209+C221+C275+C327+C344+C413+C447+C470+C477+C498+C503+C552+C554+C484+C365</f>
        <v>2841293.8000000003</v>
      </c>
      <c r="D557" s="35">
        <f t="shared" si="181"/>
        <v>-29000</v>
      </c>
      <c r="E557" s="35">
        <f t="shared" si="181"/>
        <v>126119.79999999999</v>
      </c>
      <c r="F557" s="35">
        <f t="shared" si="181"/>
        <v>2938413.6000000006</v>
      </c>
      <c r="G557" s="35">
        <f t="shared" si="181"/>
        <v>4497400.5</v>
      </c>
      <c r="H557" s="35">
        <f t="shared" si="181"/>
        <v>-1674.2999999999993</v>
      </c>
      <c r="I557" s="35">
        <f t="shared" si="181"/>
        <v>7434139.800000001</v>
      </c>
      <c r="J557" s="35">
        <f t="shared" si="181"/>
        <v>503301.30000000016</v>
      </c>
      <c r="K557" s="35">
        <f t="shared" si="181"/>
        <v>10176.199999999999</v>
      </c>
      <c r="L557" s="35">
        <f t="shared" si="181"/>
        <v>7947617.299999999</v>
      </c>
      <c r="M557" s="35">
        <f t="shared" si="181"/>
        <v>202034.30000000005</v>
      </c>
      <c r="N557" s="35">
        <f t="shared" si="181"/>
        <v>4316.5</v>
      </c>
      <c r="O557" s="35">
        <f t="shared" si="181"/>
        <v>8153968.099999999</v>
      </c>
      <c r="P557" s="35">
        <f>P102+P122+P149+P166+P176+P198+P209+P221+P275+P327+P344+P413+P447+P470+P477+P498+P503+P552+P554+P484+P365</f>
        <v>141185</v>
      </c>
      <c r="Q557" s="35">
        <f>Q102+Q122+Q149+Q166+Q176+Q198+Q209+Q221+Q275+Q327+Q344+Q413+Q447+Q470+Q477+Q498+Q503+Q552+Q554+Q484+Q365</f>
        <v>0</v>
      </c>
      <c r="R557" s="94">
        <f>R102+R122+R149+R166+R176+R198+R209+R221+R275+R327+R344+R413+R447+R470+R477+R498+R503+R552+R554+R484+R365</f>
        <v>8295153.1</v>
      </c>
    </row>
    <row r="558" spans="1:18" ht="16.5" thickBot="1">
      <c r="A558" s="13" t="s">
        <v>75</v>
      </c>
      <c r="B558" s="13"/>
      <c r="C558" s="36">
        <f aca="true" t="shared" si="182" ref="C558:O558">C115+C142+C158+C171+C188+C204+C215+C257+C319+C338+C355+C440+C460+C473+C504+C493+C389</f>
        <v>630600.7000000001</v>
      </c>
      <c r="D558" s="36">
        <f t="shared" si="182"/>
        <v>29000</v>
      </c>
      <c r="E558" s="36">
        <f t="shared" si="182"/>
        <v>426413.6</v>
      </c>
      <c r="F558" s="36">
        <f t="shared" si="182"/>
        <v>1086014.2999999998</v>
      </c>
      <c r="G558" s="36">
        <f t="shared" si="182"/>
        <v>177571.19999999998</v>
      </c>
      <c r="H558" s="36">
        <f t="shared" si="182"/>
        <v>11720.5</v>
      </c>
      <c r="I558" s="36">
        <f t="shared" si="182"/>
        <v>1275306</v>
      </c>
      <c r="J558" s="36">
        <f t="shared" si="182"/>
        <v>59099.299999999996</v>
      </c>
      <c r="K558" s="36">
        <f t="shared" si="182"/>
        <v>24090.899999999998</v>
      </c>
      <c r="L558" s="36">
        <f t="shared" si="182"/>
        <v>1358496.2</v>
      </c>
      <c r="M558" s="36">
        <f t="shared" si="182"/>
        <v>108831.9</v>
      </c>
      <c r="N558" s="36">
        <f t="shared" si="182"/>
        <v>-1273.3999999999996</v>
      </c>
      <c r="O558" s="36">
        <f t="shared" si="182"/>
        <v>1466054.7</v>
      </c>
      <c r="P558" s="36">
        <f>P115+P142+P158+P171+P188+P204+P215+P257+P319+P338+P355+P440+P460+P473+P504+P493+P389</f>
        <v>56809.700000000004</v>
      </c>
      <c r="Q558" s="36">
        <f>Q115+Q142+Q158+Q171+Q188+Q204+Q215+Q257+Q319+Q338+Q355+Q440+Q460+Q473+Q504+Q493+Q389</f>
        <v>0</v>
      </c>
      <c r="R558" s="95">
        <f>R115+R142+R158+R171+R188+R204+R215+R257+R319+R338+R355+R440+R460+R473+R504+R493+R389</f>
        <v>1522864.4</v>
      </c>
    </row>
    <row r="559" spans="1:18" ht="15.75">
      <c r="A559" s="26" t="s">
        <v>173</v>
      </c>
      <c r="B559" s="26"/>
      <c r="C559" s="41">
        <f>SUM(C561:C564)</f>
        <v>137500</v>
      </c>
      <c r="D559" s="41">
        <f>SUM(D561:D564)</f>
        <v>0</v>
      </c>
      <c r="E559" s="41">
        <f>SUM(E561:E564)</f>
        <v>552533.4</v>
      </c>
      <c r="F559" s="41">
        <f>SUM(F561:F564)</f>
        <v>690033.4</v>
      </c>
      <c r="G559" s="41">
        <f aca="true" t="shared" si="183" ref="G559:O559">SUM(G561:G564)</f>
        <v>213894.2</v>
      </c>
      <c r="H559" s="41">
        <f t="shared" si="183"/>
        <v>12536.3</v>
      </c>
      <c r="I559" s="41">
        <f t="shared" si="183"/>
        <v>916463.9000000001</v>
      </c>
      <c r="J559" s="41">
        <f t="shared" si="183"/>
        <v>55622.200000000004</v>
      </c>
      <c r="K559" s="41">
        <f t="shared" si="183"/>
        <v>21639.9</v>
      </c>
      <c r="L559" s="41">
        <f t="shared" si="183"/>
        <v>993726.0000000001</v>
      </c>
      <c r="M559" s="41">
        <f t="shared" si="183"/>
        <v>0</v>
      </c>
      <c r="N559" s="41">
        <f t="shared" si="183"/>
        <v>0</v>
      </c>
      <c r="O559" s="41">
        <f t="shared" si="183"/>
        <v>993726.0000000001</v>
      </c>
      <c r="P559" s="41">
        <f>SUM(P561:P564)</f>
        <v>0</v>
      </c>
      <c r="Q559" s="41">
        <f>SUM(Q561:Q564)</f>
        <v>0</v>
      </c>
      <c r="R559" s="96">
        <f>SUM(R561:R564)</f>
        <v>993726.0000000001</v>
      </c>
    </row>
    <row r="560" spans="1:18" ht="12.75" customHeight="1">
      <c r="A560" s="28" t="s">
        <v>38</v>
      </c>
      <c r="B560" s="28"/>
      <c r="C560" s="42"/>
      <c r="D560" s="42"/>
      <c r="E560" s="42"/>
      <c r="F560" s="43"/>
      <c r="G560" s="42"/>
      <c r="H560" s="42"/>
      <c r="I560" s="43"/>
      <c r="J560" s="42"/>
      <c r="K560" s="42"/>
      <c r="L560" s="43"/>
      <c r="M560" s="42"/>
      <c r="N560" s="42"/>
      <c r="O560" s="43"/>
      <c r="P560" s="75"/>
      <c r="Q560" s="75"/>
      <c r="R560" s="75"/>
    </row>
    <row r="561" spans="1:18" ht="14.25">
      <c r="A561" s="28" t="s">
        <v>174</v>
      </c>
      <c r="B561" s="28"/>
      <c r="C561" s="43">
        <v>300000</v>
      </c>
      <c r="D561" s="43"/>
      <c r="E561" s="43"/>
      <c r="F561" s="43">
        <f>SUM(C561:E561)</f>
        <v>300000</v>
      </c>
      <c r="G561" s="43"/>
      <c r="H561" s="43"/>
      <c r="I561" s="43">
        <f>SUM(F561:H561)</f>
        <v>300000</v>
      </c>
      <c r="J561" s="43"/>
      <c r="K561" s="43"/>
      <c r="L561" s="43">
        <f>SUM(I561:K561)</f>
        <v>300000</v>
      </c>
      <c r="M561" s="43"/>
      <c r="N561" s="43"/>
      <c r="O561" s="43">
        <f>SUM(L561:N561)</f>
        <v>300000</v>
      </c>
      <c r="P561" s="75"/>
      <c r="Q561" s="75"/>
      <c r="R561" s="75">
        <f t="shared" si="169"/>
        <v>300000</v>
      </c>
    </row>
    <row r="562" spans="1:18" ht="14.25">
      <c r="A562" s="28" t="s">
        <v>183</v>
      </c>
      <c r="B562" s="28"/>
      <c r="C562" s="43">
        <v>-162500</v>
      </c>
      <c r="D562" s="43"/>
      <c r="E562" s="43"/>
      <c r="F562" s="43">
        <f>SUM(C562:E562)</f>
        <v>-162500</v>
      </c>
      <c r="G562" s="43"/>
      <c r="H562" s="43"/>
      <c r="I562" s="43">
        <f>SUM(F562:H562)</f>
        <v>-162500</v>
      </c>
      <c r="J562" s="43"/>
      <c r="K562" s="43"/>
      <c r="L562" s="43">
        <f>SUM(I562:K562)</f>
        <v>-162500</v>
      </c>
      <c r="M562" s="43"/>
      <c r="N562" s="43"/>
      <c r="O562" s="43">
        <f>SUM(L562:N562)</f>
        <v>-162500</v>
      </c>
      <c r="P562" s="75"/>
      <c r="Q562" s="75"/>
      <c r="R562" s="75">
        <f t="shared" si="169"/>
        <v>-162500</v>
      </c>
    </row>
    <row r="563" spans="1:18" ht="14.25">
      <c r="A563" s="28" t="s">
        <v>175</v>
      </c>
      <c r="B563" s="28"/>
      <c r="C563" s="43"/>
      <c r="D563" s="43"/>
      <c r="E563" s="43">
        <f>552611.3-77.9</f>
        <v>552533.4</v>
      </c>
      <c r="F563" s="43">
        <f>SUM(C563:E563)</f>
        <v>552533.4</v>
      </c>
      <c r="G563" s="43">
        <f>1008+1158.1+1345.3+1720+10000+9394.8+252.7+170.2+40425.6+3130.4+4132.8+4618.4+1500+351+835.8+17191.9+100000+16648.7+4.1+0.4+0.2+5.8</f>
        <v>213894.2</v>
      </c>
      <c r="H563" s="43">
        <f>12303.4+232.9</f>
        <v>12536.3</v>
      </c>
      <c r="I563" s="43">
        <f>SUM(F563:H563)</f>
        <v>778963.9000000001</v>
      </c>
      <c r="J563" s="43">
        <f>1769.9+400+52970+356+126.3</f>
        <v>55622.200000000004</v>
      </c>
      <c r="K563" s="43">
        <f>21639.9-755.3+23.3</f>
        <v>20907.9</v>
      </c>
      <c r="L563" s="43">
        <f>SUM(I563:K563)</f>
        <v>855494.0000000001</v>
      </c>
      <c r="M563" s="43"/>
      <c r="N563" s="43"/>
      <c r="O563" s="43">
        <f>SUM(L563:N563)</f>
        <v>855494.0000000001</v>
      </c>
      <c r="P563" s="75"/>
      <c r="Q563" s="75"/>
      <c r="R563" s="75">
        <f t="shared" si="169"/>
        <v>855494.0000000001</v>
      </c>
    </row>
    <row r="564" spans="1:18" ht="16.5" thickBot="1">
      <c r="A564" s="33" t="s">
        <v>225</v>
      </c>
      <c r="B564" s="33"/>
      <c r="C564" s="50"/>
      <c r="D564" s="44"/>
      <c r="E564" s="44"/>
      <c r="F564" s="44">
        <f>SUM(C564:E564)</f>
        <v>0</v>
      </c>
      <c r="G564" s="44"/>
      <c r="H564" s="44"/>
      <c r="I564" s="44">
        <f>SUM(F564:H564)</f>
        <v>0</v>
      </c>
      <c r="J564" s="44">
        <v>0</v>
      </c>
      <c r="K564" s="44">
        <f>755.3-23.3</f>
        <v>732</v>
      </c>
      <c r="L564" s="44">
        <f>SUM(I564:K564)</f>
        <v>732</v>
      </c>
      <c r="M564" s="44"/>
      <c r="N564" s="44"/>
      <c r="O564" s="44">
        <f>SUM(L564:N564)</f>
        <v>732</v>
      </c>
      <c r="P564" s="87"/>
      <c r="Q564" s="87"/>
      <c r="R564" s="87">
        <f t="shared" si="169"/>
        <v>732</v>
      </c>
    </row>
    <row r="565" spans="3:18" ht="12.75">
      <c r="C565" s="32">
        <f aca="true" t="shared" si="184" ref="C565:R565">C99+C559-C555</f>
        <v>0</v>
      </c>
      <c r="D565" s="32">
        <f t="shared" si="184"/>
        <v>0</v>
      </c>
      <c r="E565" s="32">
        <f t="shared" si="184"/>
        <v>0</v>
      </c>
      <c r="F565" s="32">
        <f t="shared" si="184"/>
        <v>0</v>
      </c>
      <c r="G565" s="32">
        <f t="shared" si="184"/>
        <v>0</v>
      </c>
      <c r="H565" s="32">
        <f t="shared" si="184"/>
        <v>0</v>
      </c>
      <c r="I565" s="32">
        <f t="shared" si="184"/>
        <v>0</v>
      </c>
      <c r="J565" s="32">
        <f t="shared" si="184"/>
        <v>0</v>
      </c>
      <c r="K565" s="32">
        <f t="shared" si="184"/>
        <v>0</v>
      </c>
      <c r="L565" s="32">
        <f t="shared" si="184"/>
        <v>0</v>
      </c>
      <c r="M565" s="32">
        <f t="shared" si="184"/>
        <v>0</v>
      </c>
      <c r="N565" s="32">
        <f t="shared" si="184"/>
        <v>0</v>
      </c>
      <c r="O565" s="32">
        <f t="shared" si="184"/>
        <v>0</v>
      </c>
      <c r="P565" s="32">
        <f t="shared" si="184"/>
        <v>0</v>
      </c>
      <c r="Q565" s="32">
        <f t="shared" si="184"/>
        <v>0</v>
      </c>
      <c r="R565" s="32">
        <f t="shared" si="184"/>
        <v>0</v>
      </c>
    </row>
    <row r="566" spans="16:17" ht="12.75">
      <c r="P566" s="32"/>
      <c r="Q566" s="32"/>
    </row>
    <row r="567" spans="16:17" ht="12.75">
      <c r="P567" s="32"/>
      <c r="Q567" s="32"/>
    </row>
    <row r="568" spans="16:17" ht="12.75">
      <c r="P568" s="32"/>
      <c r="Q568" s="32"/>
    </row>
    <row r="569" spans="16:17" ht="12.75">
      <c r="P569" s="32"/>
      <c r="Q569" s="32"/>
    </row>
    <row r="570" spans="16:17" ht="12.75">
      <c r="P570" s="32"/>
      <c r="Q570" s="32"/>
    </row>
    <row r="571" spans="16:17" ht="12.75">
      <c r="P571" s="32"/>
      <c r="Q571" s="32"/>
    </row>
    <row r="572" spans="16:17" ht="12.75">
      <c r="P572" s="32"/>
      <c r="Q572" s="32"/>
    </row>
    <row r="573" spans="16:17" ht="12.75">
      <c r="P573" s="32"/>
      <c r="Q573" s="32"/>
    </row>
    <row r="574" spans="16:17" ht="12.75">
      <c r="P574" s="32"/>
      <c r="Q574" s="32"/>
    </row>
    <row r="575" spans="16:17" ht="12.75">
      <c r="P575" s="32"/>
      <c r="Q575" s="32"/>
    </row>
    <row r="576" spans="16:17" ht="12.75">
      <c r="P576" s="32"/>
      <c r="Q576" s="32"/>
    </row>
    <row r="577" spans="16:17" ht="12.75">
      <c r="P577" s="32"/>
      <c r="Q577" s="32"/>
    </row>
    <row r="578" spans="16:17" ht="12.75">
      <c r="P578" s="32"/>
      <c r="Q578" s="32"/>
    </row>
    <row r="579" spans="16:17" ht="12.75">
      <c r="P579" s="32"/>
      <c r="Q579" s="32"/>
    </row>
    <row r="580" spans="16:17" ht="12.75">
      <c r="P580" s="32"/>
      <c r="Q580" s="32"/>
    </row>
    <row r="581" spans="16:17" ht="12.75">
      <c r="P581" s="32"/>
      <c r="Q581" s="32"/>
    </row>
    <row r="582" spans="16:17" ht="12.75">
      <c r="P582" s="32"/>
      <c r="Q582" s="32"/>
    </row>
    <row r="583" spans="16:17" ht="12.75">
      <c r="P583" s="32"/>
      <c r="Q583" s="32"/>
    </row>
    <row r="584" spans="16:17" ht="12.75">
      <c r="P584" s="32"/>
      <c r="Q584" s="32"/>
    </row>
    <row r="585" spans="16:17" ht="12.75">
      <c r="P585" s="32"/>
      <c r="Q585" s="32"/>
    </row>
    <row r="586" spans="16:17" ht="12.75">
      <c r="P586" s="32"/>
      <c r="Q586" s="32"/>
    </row>
    <row r="587" spans="16:17" ht="12.75">
      <c r="P587" s="32"/>
      <c r="Q587" s="32"/>
    </row>
    <row r="588" spans="16:17" ht="12.75">
      <c r="P588" s="32"/>
      <c r="Q588" s="32"/>
    </row>
    <row r="589" spans="16:17" ht="12.75">
      <c r="P589" s="32"/>
      <c r="Q589" s="32"/>
    </row>
    <row r="590" spans="16:17" ht="12.75">
      <c r="P590" s="32"/>
      <c r="Q590" s="32"/>
    </row>
    <row r="591" spans="16:17" ht="12.75">
      <c r="P591" s="32"/>
      <c r="Q591" s="32"/>
    </row>
    <row r="592" spans="16:17" ht="12.75">
      <c r="P592" s="32"/>
      <c r="Q592" s="32"/>
    </row>
    <row r="593" spans="16:17" ht="12.75">
      <c r="P593" s="32"/>
      <c r="Q593" s="32"/>
    </row>
    <row r="594" spans="16:17" ht="12.75">
      <c r="P594" s="32"/>
      <c r="Q594" s="32"/>
    </row>
    <row r="595" spans="16:17" ht="12.75">
      <c r="P595" s="32"/>
      <c r="Q595" s="32"/>
    </row>
    <row r="596" spans="16:17" ht="12.75">
      <c r="P596" s="32"/>
      <c r="Q596" s="32"/>
    </row>
    <row r="597" spans="16:17" ht="12.75">
      <c r="P597" s="32"/>
      <c r="Q597" s="32"/>
    </row>
  </sheetData>
  <sheetProtection/>
  <mergeCells count="5">
    <mergeCell ref="A3:R3"/>
    <mergeCell ref="A4:R4"/>
    <mergeCell ref="A5:R5"/>
    <mergeCell ref="A6:R6"/>
    <mergeCell ref="A8:A9"/>
  </mergeCells>
  <printOptions horizontalCentered="1"/>
  <pageMargins left="0.1968503937007874" right="0.1968503937007874" top="0.7874015748031497" bottom="0.7874015748031497" header="0.5118110236220472" footer="0.31496062992125984"/>
  <pageSetup horizontalDpi="600" verticalDpi="600" orientation="portrait" paperSize="9" scale="90" r:id="rId1"/>
  <headerFooter alignWithMargins="0">
    <oddFooter>&amp;CStránka &amp;P</oddFooter>
  </headerFooter>
  <rowBreaks count="7" manualBreakCount="7">
    <brk id="70" max="17" man="1"/>
    <brk id="157" max="17" man="1"/>
    <brk id="233" max="17" man="1"/>
    <brk id="321" max="17" man="1"/>
    <brk id="398" max="17" man="1"/>
    <brk id="472" max="17" man="1"/>
    <brk id="5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2013-11-11T07:14:50Z</cp:lastPrinted>
  <dcterms:created xsi:type="dcterms:W3CDTF">2009-01-05T12:05:07Z</dcterms:created>
  <dcterms:modified xsi:type="dcterms:W3CDTF">2013-11-11T10:02:09Z</dcterms:modified>
  <cp:category/>
  <cp:version/>
  <cp:contentType/>
  <cp:contentStatus/>
</cp:coreProperties>
</file>